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7965" yWindow="2550" windowWidth="9930" windowHeight="5655"/>
  </bookViews>
  <sheets>
    <sheet name="Б. вар.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xlnm.Print_Titles" localSheetId="0">'Б. вар.'!$A:$B,'Б. вар.'!$5:$6</definedName>
    <definedName name="_xlnm.Print_Area" localSheetId="0">'Б. вар.'!$A$1:$AA$96</definedName>
    <definedName name="ПОКАЗАТЕЛИ_ДОЛГОСР.ПРОГНОЗА">'[1]2002(v2)'!#REF!</definedName>
  </definedNames>
  <calcPr calcId="125725" iterate="1"/>
</workbook>
</file>

<file path=xl/calcChain.xml><?xml version="1.0" encoding="utf-8"?>
<calcChain xmlns="http://schemas.openxmlformats.org/spreadsheetml/2006/main">
  <c r="P12" i="9"/>
  <c r="Z70"/>
  <c r="Y70"/>
  <c r="X70"/>
  <c r="W70"/>
  <c r="V70"/>
  <c r="U70"/>
  <c r="Z68"/>
  <c r="Y68"/>
  <c r="Z69" s="1"/>
  <c r="X68"/>
  <c r="W68"/>
  <c r="V68"/>
  <c r="U68"/>
  <c r="U69" s="1"/>
  <c r="Z66"/>
  <c r="Y66"/>
  <c r="X66"/>
  <c r="W66"/>
  <c r="V66"/>
  <c r="U66"/>
  <c r="Z64"/>
  <c r="Y64"/>
  <c r="X64"/>
  <c r="X65" s="1"/>
  <c r="W64"/>
  <c r="V64"/>
  <c r="W65" s="1"/>
  <c r="U64"/>
  <c r="U65" s="1"/>
  <c r="Z23"/>
  <c r="Y23"/>
  <c r="X23"/>
  <c r="W23"/>
  <c r="V23"/>
  <c r="U23"/>
  <c r="Z13"/>
  <c r="Y13"/>
  <c r="X13"/>
  <c r="W13"/>
  <c r="V13"/>
  <c r="U13"/>
  <c r="Z12"/>
  <c r="Y12"/>
  <c r="X12"/>
  <c r="W12"/>
  <c r="V12"/>
  <c r="U12"/>
  <c r="Q12"/>
  <c r="O43"/>
  <c r="O44" s="1"/>
  <c r="O46"/>
  <c r="O47" s="1"/>
  <c r="Z50"/>
  <c r="Y50"/>
  <c r="X50"/>
  <c r="W50"/>
  <c r="V50"/>
  <c r="U50"/>
  <c r="Z32"/>
  <c r="Y32"/>
  <c r="X32"/>
  <c r="W32"/>
  <c r="V32"/>
  <c r="U32"/>
  <c r="Z31"/>
  <c r="Y31"/>
  <c r="X31"/>
  <c r="W31"/>
  <c r="V31"/>
  <c r="U31"/>
  <c r="Z27"/>
  <c r="Y27"/>
  <c r="X27"/>
  <c r="W27"/>
  <c r="V27"/>
  <c r="U27"/>
  <c r="U28"/>
  <c r="V28"/>
  <c r="W28"/>
  <c r="X28"/>
  <c r="Y28"/>
  <c r="Z28"/>
  <c r="U36"/>
  <c r="U37" s="1"/>
  <c r="V36"/>
  <c r="W36"/>
  <c r="X37" s="1"/>
  <c r="X36"/>
  <c r="Y36"/>
  <c r="Z36"/>
  <c r="Z59"/>
  <c r="Y59"/>
  <c r="X59"/>
  <c r="W59"/>
  <c r="V59"/>
  <c r="U59"/>
  <c r="A5"/>
  <c r="U9"/>
  <c r="V9"/>
  <c r="W9"/>
  <c r="X9"/>
  <c r="Y9"/>
  <c r="Z9"/>
  <c r="M11"/>
  <c r="M76" s="1"/>
  <c r="N11"/>
  <c r="N45" s="1"/>
  <c r="O11"/>
  <c r="M12"/>
  <c r="K13"/>
  <c r="M13"/>
  <c r="N13"/>
  <c r="U16"/>
  <c r="U15" s="1"/>
  <c r="V15" s="1"/>
  <c r="W15" s="1"/>
  <c r="X15" s="1"/>
  <c r="Y15" s="1"/>
  <c r="Z15" s="1"/>
  <c r="V16"/>
  <c r="W16"/>
  <c r="X16"/>
  <c r="Y16"/>
  <c r="Z16"/>
  <c r="G17"/>
  <c r="H17"/>
  <c r="I17"/>
  <c r="J17"/>
  <c r="K17"/>
  <c r="L17"/>
  <c r="U17"/>
  <c r="V17"/>
  <c r="W17"/>
  <c r="X17"/>
  <c r="Y17"/>
  <c r="Z17"/>
  <c r="O22"/>
  <c r="N23"/>
  <c r="O23"/>
  <c r="N24"/>
  <c r="U24"/>
  <c r="V24"/>
  <c r="W24"/>
  <c r="X24"/>
  <c r="Y24"/>
  <c r="Z24"/>
  <c r="G32"/>
  <c r="H32"/>
  <c r="K32"/>
  <c r="L32"/>
  <c r="M32"/>
  <c r="U34"/>
  <c r="U35" s="1"/>
  <c r="V34"/>
  <c r="W34"/>
  <c r="X34"/>
  <c r="Y35" s="1"/>
  <c r="Y34"/>
  <c r="Z35" s="1"/>
  <c r="Z34"/>
  <c r="D35"/>
  <c r="E35"/>
  <c r="F35"/>
  <c r="G35"/>
  <c r="H35"/>
  <c r="I35"/>
  <c r="J35"/>
  <c r="K35"/>
  <c r="L35"/>
  <c r="M35"/>
  <c r="N35"/>
  <c r="O35"/>
  <c r="D37"/>
  <c r="E37"/>
  <c r="F37"/>
  <c r="G37"/>
  <c r="H37"/>
  <c r="I37"/>
  <c r="J37"/>
  <c r="K37"/>
  <c r="L37"/>
  <c r="M37"/>
  <c r="N37"/>
  <c r="O37"/>
  <c r="V37"/>
  <c r="N38"/>
  <c r="N39" s="1"/>
  <c r="O38"/>
  <c r="D39"/>
  <c r="E39"/>
  <c r="F39"/>
  <c r="G39"/>
  <c r="H39"/>
  <c r="I39"/>
  <c r="J39"/>
  <c r="K39"/>
  <c r="L39"/>
  <c r="M39"/>
  <c r="V39"/>
  <c r="W39"/>
  <c r="X39"/>
  <c r="Y39"/>
  <c r="Z39"/>
  <c r="N40"/>
  <c r="O40"/>
  <c r="U40"/>
  <c r="V40"/>
  <c r="W40"/>
  <c r="X40"/>
  <c r="Y40"/>
  <c r="Z40"/>
  <c r="D44"/>
  <c r="E44"/>
  <c r="F44"/>
  <c r="G44"/>
  <c r="H44"/>
  <c r="I44"/>
  <c r="J44"/>
  <c r="K44"/>
  <c r="L44"/>
  <c r="M44"/>
  <c r="N44"/>
  <c r="I45"/>
  <c r="J45"/>
  <c r="K45"/>
  <c r="L45"/>
  <c r="O53"/>
  <c r="U53"/>
  <c r="V53"/>
  <c r="W53"/>
  <c r="X53"/>
  <c r="Y53"/>
  <c r="Z53"/>
  <c r="U54"/>
  <c r="V54"/>
  <c r="W54"/>
  <c r="X54"/>
  <c r="Y54"/>
  <c r="Z54"/>
  <c r="U56"/>
  <c r="V56"/>
  <c r="W56"/>
  <c r="X56"/>
  <c r="Y56"/>
  <c r="Z56"/>
  <c r="U58"/>
  <c r="V58"/>
  <c r="W58"/>
  <c r="X58"/>
  <c r="Y58"/>
  <c r="Z58"/>
  <c r="U60"/>
  <c r="V60"/>
  <c r="W60"/>
  <c r="X60"/>
  <c r="Y60"/>
  <c r="Z60"/>
  <c r="U61"/>
  <c r="V61"/>
  <c r="W61"/>
  <c r="X61"/>
  <c r="Y61"/>
  <c r="Z61"/>
  <c r="N64"/>
  <c r="N65" s="1"/>
  <c r="O64"/>
  <c r="I65"/>
  <c r="J65"/>
  <c r="K65"/>
  <c r="L65"/>
  <c r="M65"/>
  <c r="I66"/>
  <c r="J66"/>
  <c r="K66"/>
  <c r="L66"/>
  <c r="M66"/>
  <c r="N66"/>
  <c r="O66"/>
  <c r="O68"/>
  <c r="O69" s="1"/>
  <c r="I69"/>
  <c r="J69"/>
  <c r="K69"/>
  <c r="L69"/>
  <c r="M69"/>
  <c r="N69"/>
  <c r="I70"/>
  <c r="J70"/>
  <c r="K70"/>
  <c r="L70"/>
  <c r="M70"/>
  <c r="N70"/>
  <c r="O70"/>
  <c r="I72"/>
  <c r="J72"/>
  <c r="K72"/>
  <c r="L72"/>
  <c r="M72"/>
  <c r="O75"/>
  <c r="O76" s="1"/>
  <c r="N79"/>
  <c r="O79"/>
  <c r="U79"/>
  <c r="V79"/>
  <c r="W79"/>
  <c r="X79"/>
  <c r="Y79"/>
  <c r="Z79"/>
  <c r="N81"/>
  <c r="O81"/>
  <c r="U81"/>
  <c r="V81"/>
  <c r="W81"/>
  <c r="X81"/>
  <c r="Y81"/>
  <c r="Z81"/>
  <c r="N83"/>
  <c r="O83"/>
  <c r="U83"/>
  <c r="V83"/>
  <c r="W83"/>
  <c r="X83"/>
  <c r="Y83"/>
  <c r="Z83"/>
  <c r="N85"/>
  <c r="O85"/>
  <c r="U85"/>
  <c r="V85"/>
  <c r="W85"/>
  <c r="X85"/>
  <c r="Y85"/>
  <c r="Z85"/>
  <c r="U90"/>
  <c r="V90"/>
  <c r="W90"/>
  <c r="X90"/>
  <c r="Y90"/>
  <c r="Z90"/>
  <c r="U39"/>
  <c r="U43"/>
  <c r="V43"/>
  <c r="W43"/>
  <c r="X43"/>
  <c r="Y43"/>
  <c r="Z43"/>
  <c r="U44"/>
  <c r="V44"/>
  <c r="W44"/>
  <c r="X44"/>
  <c r="Y44"/>
  <c r="Z44"/>
  <c r="U45"/>
  <c r="V45"/>
  <c r="W45"/>
  <c r="X45"/>
  <c r="Y45"/>
  <c r="Z45"/>
  <c r="U46"/>
  <c r="V46"/>
  <c r="W46"/>
  <c r="X46"/>
  <c r="Y46"/>
  <c r="Z46"/>
  <c r="U47"/>
  <c r="V47"/>
  <c r="W47"/>
  <c r="X47"/>
  <c r="Y47"/>
  <c r="Z47"/>
  <c r="U48"/>
  <c r="V48"/>
  <c r="W48"/>
  <c r="X48"/>
  <c r="Y48"/>
  <c r="Z48"/>
  <c r="Z72"/>
  <c r="V87" l="1"/>
  <c r="U11"/>
  <c r="V11" s="1"/>
  <c r="U22"/>
  <c r="P11"/>
  <c r="Q11" s="1"/>
  <c r="V65"/>
  <c r="Z65"/>
  <c r="V69"/>
  <c r="X87"/>
  <c r="V35"/>
  <c r="O72"/>
  <c r="O73" s="1"/>
  <c r="X35"/>
  <c r="W35"/>
  <c r="W37"/>
  <c r="U26"/>
  <c r="V26" s="1"/>
  <c r="W26" s="1"/>
  <c r="X26" s="1"/>
  <c r="Y26" s="1"/>
  <c r="Z26" s="1"/>
  <c r="Y72"/>
  <c r="M45"/>
  <c r="M73"/>
  <c r="X72"/>
  <c r="U87"/>
  <c r="Y87"/>
  <c r="V22"/>
  <c r="W22" s="1"/>
  <c r="X22" s="1"/>
  <c r="Y22" s="1"/>
  <c r="Z22" s="1"/>
  <c r="U76"/>
  <c r="U72"/>
  <c r="U73" s="1"/>
  <c r="Z87"/>
  <c r="O45"/>
  <c r="Y69"/>
  <c r="W87"/>
  <c r="O39"/>
  <c r="Y37"/>
  <c r="U30"/>
  <c r="V30" s="1"/>
  <c r="W30" s="1"/>
  <c r="X30" s="1"/>
  <c r="Y30" s="1"/>
  <c r="Z30" s="1"/>
  <c r="Y65"/>
  <c r="X69"/>
  <c r="N72"/>
  <c r="N73" s="1"/>
  <c r="N76"/>
  <c r="Z37"/>
  <c r="V72"/>
  <c r="W72"/>
  <c r="W69"/>
  <c r="V76" l="1"/>
  <c r="W11"/>
  <c r="V73"/>
  <c r="W73"/>
  <c r="W76"/>
  <c r="X11"/>
  <c r="X76" l="1"/>
  <c r="Y11"/>
  <c r="X73"/>
  <c r="Z11" l="1"/>
  <c r="Y76"/>
  <c r="Y73"/>
  <c r="Z73" l="1"/>
  <c r="Z76"/>
</calcChain>
</file>

<file path=xl/sharedStrings.xml><?xml version="1.0" encoding="utf-8"?>
<sst xmlns="http://schemas.openxmlformats.org/spreadsheetml/2006/main" count="140" uniqueCount="66">
  <si>
    <t>ОСНОВНЫЕ ПОКАЗАТЕЛИ ПРОГНОЗА</t>
  </si>
  <si>
    <t>Единица</t>
  </si>
  <si>
    <t>прогноз</t>
  </si>
  <si>
    <t>измерения</t>
  </si>
  <si>
    <t>отчет</t>
  </si>
  <si>
    <t>Индекс  потребительских цен</t>
  </si>
  <si>
    <t xml:space="preserve">    в среднем за год</t>
  </si>
  <si>
    <t xml:space="preserve">Валовой внутренний продукт </t>
  </si>
  <si>
    <t>млрд. руб.</t>
  </si>
  <si>
    <t xml:space="preserve">    Индекс-дефлятор ВВП</t>
  </si>
  <si>
    <t xml:space="preserve">    Индекс-дефлятор</t>
  </si>
  <si>
    <t>Оборот розничной торговли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</si>
  <si>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</si>
  <si>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</si>
  <si>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</si>
  <si>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</si>
  <si>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</si>
  <si>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%</t>
  </si>
  <si>
    <t>млрд. долл. США</t>
  </si>
  <si>
    <t>млн.чел.</t>
  </si>
  <si>
    <t>Производительность труда</t>
  </si>
  <si>
    <t>руб./мес.</t>
  </si>
  <si>
    <t>Торговый баланс</t>
  </si>
  <si>
    <t>Счет текущих операций</t>
  </si>
  <si>
    <t xml:space="preserve">    на конец года </t>
  </si>
  <si>
    <t>% к декабрю</t>
  </si>
  <si>
    <t>% г/г</t>
  </si>
  <si>
    <t xml:space="preserve">    индекс промышленного производства </t>
  </si>
  <si>
    <t xml:space="preserve">    Темп роста </t>
  </si>
  <si>
    <t xml:space="preserve">    Номинальный объем</t>
  </si>
  <si>
    <t xml:space="preserve">Продукция сельского хозяйства </t>
  </si>
  <si>
    <t xml:space="preserve">Инвестиции в основной капитал </t>
  </si>
  <si>
    <t xml:space="preserve">     Номинальное значение</t>
  </si>
  <si>
    <t>Экспорт товаров</t>
  </si>
  <si>
    <t xml:space="preserve">     Темп роста в реальном выражении</t>
  </si>
  <si>
    <t xml:space="preserve">     Темп роста в номинальном выражении</t>
  </si>
  <si>
    <t>Импорт товаров</t>
  </si>
  <si>
    <t xml:space="preserve">     к ВВП</t>
  </si>
  <si>
    <t xml:space="preserve">    Доля в ВВП</t>
  </si>
  <si>
    <t>Уровень безработицы</t>
  </si>
  <si>
    <t>% к ЭАН</t>
  </si>
  <si>
    <t xml:space="preserve">    Темп роста</t>
  </si>
  <si>
    <t>Приток (+)/отток (-) капитала</t>
  </si>
  <si>
    <t xml:space="preserve">    Индекс-дефлятор (по сопоставимому кругу предприятий)</t>
  </si>
  <si>
    <t xml:space="preserve">Объем отгруженной продукции (работ. услуг) </t>
  </si>
  <si>
    <t xml:space="preserve">     Реальный темп роста</t>
  </si>
  <si>
    <t xml:space="preserve">Прожиточный минимум в среднем на душу населения (в среднем за год) </t>
  </si>
  <si>
    <t>трудоспособного населения</t>
  </si>
  <si>
    <t>пенсионеров</t>
  </si>
  <si>
    <t>детей</t>
  </si>
  <si>
    <t xml:space="preserve">Численность населения с денежными доходами ниже прожиточного минимума к общей численности населения </t>
  </si>
  <si>
    <t>Среднесрочный прогноз социально-экономического развития Российской Федерации до 2019 года (базовый вариант)</t>
  </si>
  <si>
    <t>Фонд заработной платы работников организаций</t>
  </si>
  <si>
    <t>Номинальная начисленная среднемесячная заработная плата работников организаций</t>
  </si>
  <si>
    <t>Реальная заработная плата  работников организаций</t>
  </si>
  <si>
    <t>Реальные располагаемые денежные доходы населения</t>
  </si>
  <si>
    <t>Среднегодовой размер пенсии</t>
  </si>
  <si>
    <t>Численность рабочей силы</t>
  </si>
  <si>
    <t>Численность занятых в экономике</t>
  </si>
  <si>
    <t>Общая численность безработных граждан</t>
  </si>
  <si>
    <t>Среднесписочная численность работников организаций</t>
  </si>
  <si>
    <t>млн. человек</t>
  </si>
  <si>
    <t xml:space="preserve"> Государственные капитальные вложения по бюджетной системе </t>
  </si>
  <si>
    <t>млрд. рублей</t>
  </si>
  <si>
    <t>Сальдо прямых иностранных инвестиций</t>
  </si>
  <si>
    <t>Знак сальдо операций по строке "Прямые инвестий": "+" означает превышение обезательств над активами; "-" означает превышение активов над обезательствами.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</si>
</sst>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_)"/>
    <numFmt numFmtId="166" formatCode="0_)"/>
    <numFmt numFmtId="167" formatCode="0.000"/>
    <numFmt numFmtId="168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b/>
      <sz val="13"/>
      <name val="Times New Roman CYR"/>
      <family val="1"/>
      <charset val="204"/>
    </font>
    <font>
      <b/>
      <vertAlign val="superscript"/>
      <sz val="13"/>
      <name val="Times New Roman Cyr"/>
      <charset val="204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0"/>
      <name val="Courier"/>
      <family val="1"/>
      <charset val="204"/>
    </font>
    <font>
      <sz val="12"/>
      <name val="Times New Roman Cyr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5" fillId="0" borderId="0">
      <alignment vertical="top"/>
    </xf>
    <xf numFmtId="0" fontId="2" fillId="0" borderId="0"/>
    <xf numFmtId="0" fontId="6" fillId="2" borderId="1" applyNumberFormat="0">
      <alignment readingOrder="1"/>
      <protection locked="0"/>
    </xf>
    <xf numFmtId="0" fontId="7" fillId="0" borderId="0"/>
    <xf numFmtId="0" fontId="2" fillId="0" borderId="0"/>
    <xf numFmtId="0" fontId="8" fillId="0" borderId="0"/>
    <xf numFmtId="0" fontId="9" fillId="0" borderId="0" applyFont="0" applyFill="0" applyBorder="0" applyAlignment="0" applyProtection="0"/>
    <xf numFmtId="0" fontId="2" fillId="0" borderId="0"/>
    <xf numFmtId="2" fontId="10" fillId="3" borderId="2" applyProtection="0"/>
    <xf numFmtId="2" fontId="10" fillId="3" borderId="2" applyProtection="0"/>
    <xf numFmtId="2" fontId="11" fillId="0" borderId="0" applyFill="0" applyBorder="0" applyProtection="0"/>
    <xf numFmtId="2" fontId="6" fillId="0" borderId="0" applyFill="0" applyBorder="0" applyProtection="0"/>
    <xf numFmtId="2" fontId="6" fillId="4" borderId="2" applyProtection="0"/>
    <xf numFmtId="2" fontId="6" fillId="5" borderId="2" applyProtection="0"/>
    <xf numFmtId="2" fontId="6" fillId="6" borderId="2" applyProtection="0"/>
    <xf numFmtId="2" fontId="6" fillId="6" borderId="2" applyProtection="0">
      <alignment horizontal="center"/>
    </xf>
    <xf numFmtId="2" fontId="6" fillId="5" borderId="2" applyProtection="0">
      <alignment horizontal="center"/>
    </xf>
    <xf numFmtId="0" fontId="1" fillId="0" borderId="0"/>
    <xf numFmtId="0" fontId="1" fillId="0" borderId="0"/>
    <xf numFmtId="0" fontId="1" fillId="0" borderId="0"/>
    <xf numFmtId="166" fontId="12" fillId="0" borderId="0"/>
    <xf numFmtId="0" fontId="13" fillId="0" borderId="0"/>
    <xf numFmtId="0" fontId="18" fillId="0" borderId="0"/>
    <xf numFmtId="9" fontId="1" fillId="0" borderId="0" applyFont="0" applyFill="0" applyBorder="0" applyAlignment="0" applyProtection="0"/>
    <xf numFmtId="0" fontId="2" fillId="0" borderId="0"/>
  </cellStyleXfs>
  <cellXfs count="16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7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14" fillId="7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14" fontId="14" fillId="7" borderId="6" xfId="0" applyNumberFormat="1" applyFont="1" applyFill="1" applyBorder="1" applyAlignment="1">
      <alignment horizontal="center" vertical="center"/>
    </xf>
    <xf numFmtId="164" fontId="15" fillId="7" borderId="6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0" xfId="25" applyNumberFormat="1" applyFont="1" applyFill="1" applyBorder="1" applyAlignment="1">
      <alignment horizontal="center" vertical="center"/>
    </xf>
    <xf numFmtId="1" fontId="14" fillId="0" borderId="0" xfId="25" applyNumberFormat="1" applyFont="1" applyFill="1" applyBorder="1" applyAlignment="1">
      <alignment horizontal="center" vertical="center" wrapText="1"/>
    </xf>
    <xf numFmtId="164" fontId="14" fillId="0" borderId="0" xfId="25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center" vertical="center"/>
    </xf>
    <xf numFmtId="1" fontId="14" fillId="7" borderId="0" xfId="0" applyNumberFormat="1" applyFont="1" applyFill="1" applyBorder="1" applyAlignment="1">
      <alignment horizontal="center" vertical="center" wrapText="1"/>
    </xf>
    <xf numFmtId="1" fontId="14" fillId="7" borderId="0" xfId="0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/>
    </xf>
    <xf numFmtId="164" fontId="14" fillId="7" borderId="0" xfId="0" applyNumberFormat="1" applyFont="1" applyFill="1" applyBorder="1" applyAlignment="1">
      <alignment horizontal="center" vertical="center" wrapText="1"/>
    </xf>
    <xf numFmtId="164" fontId="14" fillId="7" borderId="0" xfId="0" applyNumberFormat="1" applyFont="1" applyFill="1" applyBorder="1" applyAlignment="1">
      <alignment horizontal="center" vertical="center"/>
    </xf>
    <xf numFmtId="164" fontId="14" fillId="7" borderId="0" xfId="25" applyNumberFormat="1" applyFont="1" applyFill="1" applyBorder="1" applyAlignment="1">
      <alignment horizontal="center" vertical="center"/>
    </xf>
    <xf numFmtId="164" fontId="14" fillId="7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164" fontId="14" fillId="0" borderId="0" xfId="0" applyNumberFormat="1" applyFont="1" applyFill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2" fontId="14" fillId="0" borderId="0" xfId="0" applyNumberFormat="1" applyFont="1" applyFill="1" applyAlignment="1">
      <alignment horizontal="right" vertical="center"/>
    </xf>
    <xf numFmtId="2" fontId="14" fillId="0" borderId="0" xfId="0" applyNumberFormat="1" applyFont="1" applyFill="1" applyAlignment="1">
      <alignment vertical="center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5" fillId="7" borderId="3" xfId="0" applyNumberFormat="1" applyFont="1" applyFill="1" applyBorder="1" applyAlignment="1">
      <alignment horizontal="center" vertical="center"/>
    </xf>
    <xf numFmtId="1" fontId="14" fillId="0" borderId="3" xfId="25" applyNumberFormat="1" applyFont="1" applyFill="1" applyBorder="1" applyAlignment="1">
      <alignment horizontal="center" vertical="center" wrapText="1"/>
    </xf>
    <xf numFmtId="164" fontId="14" fillId="7" borderId="3" xfId="0" applyNumberFormat="1" applyFont="1" applyFill="1" applyBorder="1" applyAlignment="1">
      <alignment vertical="center"/>
    </xf>
    <xf numFmtId="1" fontId="14" fillId="7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/>
    </xf>
    <xf numFmtId="164" fontId="14" fillId="7" borderId="3" xfId="0" applyNumberFormat="1" applyFont="1" applyFill="1" applyBorder="1" applyAlignment="1">
      <alignment horizontal="center" vertical="center"/>
    </xf>
    <xf numFmtId="164" fontId="15" fillId="7" borderId="7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/>
    </xf>
    <xf numFmtId="164" fontId="14" fillId="0" borderId="3" xfId="0" applyNumberFormat="1" applyFont="1" applyFill="1" applyBorder="1" applyAlignment="1">
      <alignment horizontal="center" vertical="top"/>
    </xf>
    <xf numFmtId="164" fontId="15" fillId="7" borderId="0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vertical="center"/>
    </xf>
    <xf numFmtId="1" fontId="14" fillId="0" borderId="10" xfId="0" applyNumberFormat="1" applyFont="1" applyFill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1" fontId="14" fillId="7" borderId="10" xfId="0" applyNumberFormat="1" applyFont="1" applyFill="1" applyBorder="1" applyAlignment="1">
      <alignment horizontal="center" vertical="center" wrapText="1"/>
    </xf>
    <xf numFmtId="1" fontId="14" fillId="7" borderId="10" xfId="0" applyNumberFormat="1" applyFont="1" applyFill="1" applyBorder="1" applyAlignment="1">
      <alignment horizontal="center" vertical="center"/>
    </xf>
    <xf numFmtId="1" fontId="14" fillId="0" borderId="10" xfId="0" applyNumberFormat="1" applyFont="1" applyFill="1" applyBorder="1" applyAlignment="1">
      <alignment horizontal="center" vertical="center"/>
    </xf>
    <xf numFmtId="164" fontId="14" fillId="0" borderId="10" xfId="0" applyNumberFormat="1" applyFont="1" applyFill="1" applyBorder="1" applyAlignment="1">
      <alignment horizontal="center" vertical="center"/>
    </xf>
    <xf numFmtId="1" fontId="14" fillId="0" borderId="10" xfId="0" applyNumberFormat="1" applyFont="1" applyFill="1" applyBorder="1" applyAlignment="1">
      <alignment horizontal="center" vertical="top" wrapText="1"/>
    </xf>
    <xf numFmtId="164" fontId="14" fillId="7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14" fillId="0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14" fontId="14" fillId="0" borderId="8" xfId="0" applyNumberFormat="1" applyFont="1" applyFill="1" applyBorder="1" applyAlignment="1">
      <alignment horizontal="left" vertical="center"/>
    </xf>
    <xf numFmtId="0" fontId="14" fillId="0" borderId="14" xfId="0" applyFont="1" applyFill="1" applyBorder="1" applyAlignment="1">
      <alignment vertical="center" wrapText="1"/>
    </xf>
    <xf numFmtId="164" fontId="14" fillId="0" borderId="15" xfId="0" applyNumberFormat="1" applyFont="1" applyFill="1" applyBorder="1" applyAlignment="1">
      <alignment horizontal="center" vertical="center"/>
    </xf>
    <xf numFmtId="164" fontId="14" fillId="0" borderId="16" xfId="0" applyNumberFormat="1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64" fontId="3" fillId="0" borderId="0" xfId="25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0" fontId="14" fillId="7" borderId="11" xfId="0" applyFont="1" applyFill="1" applyBorder="1" applyAlignment="1">
      <alignment vertical="center"/>
    </xf>
    <xf numFmtId="0" fontId="14" fillId="7" borderId="7" xfId="0" applyFont="1" applyFill="1" applyBorder="1" applyAlignment="1">
      <alignment vertical="center"/>
    </xf>
    <xf numFmtId="0" fontId="14" fillId="7" borderId="6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1" fontId="14" fillId="8" borderId="3" xfId="25" applyNumberFormat="1" applyFont="1" applyFill="1" applyBorder="1" applyAlignment="1">
      <alignment horizontal="center" vertical="center" wrapText="1"/>
    </xf>
    <xf numFmtId="164" fontId="14" fillId="8" borderId="3" xfId="0" applyNumberFormat="1" applyFont="1" applyFill="1" applyBorder="1" applyAlignment="1">
      <alignment horizontal="center" vertical="center" wrapText="1"/>
    </xf>
    <xf numFmtId="1" fontId="14" fillId="8" borderId="3" xfId="0" applyNumberFormat="1" applyFont="1" applyFill="1" applyBorder="1" applyAlignment="1">
      <alignment horizontal="center" vertical="center"/>
    </xf>
    <xf numFmtId="164" fontId="14" fillId="8" borderId="3" xfId="0" applyNumberFormat="1" applyFont="1" applyFill="1" applyBorder="1" applyAlignment="1">
      <alignment horizontal="center" vertical="center"/>
    </xf>
    <xf numFmtId="164" fontId="14" fillId="8" borderId="14" xfId="0" applyNumberFormat="1" applyFont="1" applyFill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/>
    </xf>
    <xf numFmtId="164" fontId="14" fillId="7" borderId="14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1" fontId="14" fillId="0" borderId="3" xfId="0" applyNumberFormat="1" applyFont="1" applyFill="1" applyBorder="1" applyAlignment="1">
      <alignment horizontal="center" vertical="center" wrapText="1"/>
    </xf>
    <xf numFmtId="164" fontId="14" fillId="7" borderId="3" xfId="0" applyNumberFormat="1" applyFont="1" applyFill="1" applyBorder="1" applyAlignment="1">
      <alignment horizontal="center" vertical="center" wrapText="1"/>
    </xf>
    <xf numFmtId="1" fontId="14" fillId="7" borderId="3" xfId="0" applyNumberFormat="1" applyFont="1" applyFill="1" applyBorder="1" applyAlignment="1">
      <alignment horizontal="center" vertical="center"/>
    </xf>
    <xf numFmtId="164" fontId="14" fillId="9" borderId="14" xfId="0" applyNumberFormat="1" applyFont="1" applyFill="1" applyBorder="1" applyAlignment="1">
      <alignment horizontal="center" vertical="center"/>
    </xf>
    <xf numFmtId="1" fontId="14" fillId="0" borderId="3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 wrapText="1"/>
    </xf>
    <xf numFmtId="1" fontId="14" fillId="8" borderId="0" xfId="25" applyNumberFormat="1" applyFont="1" applyFill="1" applyBorder="1" applyAlignment="1">
      <alignment horizontal="center" vertical="center" wrapText="1"/>
    </xf>
    <xf numFmtId="1" fontId="14" fillId="8" borderId="3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center" wrapText="1"/>
    </xf>
    <xf numFmtId="0" fontId="14" fillId="7" borderId="1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7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14" fillId="7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vertical="center" wrapText="1"/>
    </xf>
    <xf numFmtId="0" fontId="14" fillId="7" borderId="3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vertical="center"/>
    </xf>
    <xf numFmtId="0" fontId="14" fillId="8" borderId="18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vertical="center"/>
    </xf>
    <xf numFmtId="0" fontId="14" fillId="8" borderId="0" xfId="0" applyFont="1" applyFill="1" applyBorder="1" applyAlignment="1">
      <alignment vertical="center"/>
    </xf>
    <xf numFmtId="164" fontId="14" fillId="8" borderId="0" xfId="0" applyNumberFormat="1" applyFont="1" applyFill="1" applyBorder="1" applyAlignment="1">
      <alignment vertical="center"/>
    </xf>
    <xf numFmtId="164" fontId="14" fillId="8" borderId="0" xfId="0" applyNumberFormat="1" applyFont="1" applyFill="1" applyBorder="1" applyAlignment="1">
      <alignment horizontal="center" vertical="center"/>
    </xf>
    <xf numFmtId="164" fontId="14" fillId="8" borderId="18" xfId="0" applyNumberFormat="1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vertical="center"/>
    </xf>
    <xf numFmtId="0" fontId="14" fillId="8" borderId="0" xfId="0" applyFont="1" applyFill="1" applyBorder="1" applyAlignment="1">
      <alignment horizontal="center" vertical="center"/>
    </xf>
    <xf numFmtId="1" fontId="14" fillId="8" borderId="10" xfId="0" applyNumberFormat="1" applyFont="1" applyFill="1" applyBorder="1" applyAlignment="1">
      <alignment horizontal="center" vertical="center" wrapText="1"/>
    </xf>
    <xf numFmtId="1" fontId="14" fillId="8" borderId="0" xfId="0" applyNumberFormat="1" applyFont="1" applyFill="1" applyBorder="1" applyAlignment="1">
      <alignment horizontal="center" vertical="center" wrapText="1"/>
    </xf>
    <xf numFmtId="1" fontId="14" fillId="8" borderId="0" xfId="0" applyNumberFormat="1" applyFont="1" applyFill="1" applyBorder="1" applyAlignment="1">
      <alignment horizontal="center" vertical="center"/>
    </xf>
    <xf numFmtId="0" fontId="14" fillId="8" borderId="10" xfId="0" applyFont="1" applyFill="1" applyBorder="1" applyAlignment="1">
      <alignment horizontal="center" vertical="center" wrapText="1"/>
    </xf>
    <xf numFmtId="164" fontId="14" fillId="8" borderId="0" xfId="0" applyNumberFormat="1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164" fontId="14" fillId="9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4" fontId="14" fillId="8" borderId="17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168" fontId="0" fillId="9" borderId="0" xfId="0" applyNumberFormat="1" applyFont="1" applyFill="1" applyAlignment="1">
      <alignment vertical="center"/>
    </xf>
  </cellXfs>
  <cellStyles count="26">
    <cellStyle name="_CPI foodimp" xfId="1"/>
    <cellStyle name="_macro 2012 var 1" xfId="2"/>
    <cellStyle name="_SeriesAttributes" xfId="3"/>
    <cellStyle name="_v-2013-2030- 2b17.01.11Нах-cpiнов. курс inn 1-2-Е1xls" xfId="4"/>
    <cellStyle name="_Модель - 2(23)" xfId="5"/>
    <cellStyle name="_Сб-macro 2020" xfId="6"/>
    <cellStyle name="Euro" xfId="7"/>
    <cellStyle name="Normal_macro 2012 var 1" xfId="8"/>
    <cellStyle name="styleColumnTitles" xfId="9"/>
    <cellStyle name="styleDateRange" xfId="10"/>
    <cellStyle name="styleHidden" xfId="11"/>
    <cellStyle name="styleNormal" xfId="12"/>
    <cellStyle name="styleSeriesAttributes" xfId="13"/>
    <cellStyle name="styleSeriesData" xfId="14"/>
    <cellStyle name="styleSeriesDataForecast" xfId="15"/>
    <cellStyle name="styleSeriesDataForecastNA" xfId="16"/>
    <cellStyle name="styleSeriesDataNA" xfId="17"/>
    <cellStyle name="Обычный" xfId="0" builtinId="0"/>
    <cellStyle name="Обычный 2" xfId="18"/>
    <cellStyle name="Обычный 27" xfId="19"/>
    <cellStyle name="Обычный 3" xfId="20"/>
    <cellStyle name="Обычный 4" xfId="21"/>
    <cellStyle name="Обычный 5" xfId="22"/>
    <cellStyle name="Обычный 6" xfId="23"/>
    <cellStyle name="Процентный 2" xfId="24"/>
    <cellStyle name="Стиль 1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2016_09_23_&#1055;&#1088;&#1080;&#1073;&#1099;&#1083;&#1100;%20&#1080;%20&#1072;&#1084;&#1086;&#1088;&#1090;&#1080;&#1079;&#1072;&#1094;&#1080;&#1103;%202019%20&#1086;&#1090;&#1087;&#1088;&#1072;&#1074;&#1082;&#1072;%20&#1074;&#1077;&#1095;&#1077;&#108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2016_10_10(2)_&#1055;&#1088;&#1080;&#1073;&#1099;&#1083;&#1100;%20&#1080;%20&#1072;&#1084;&#1086;&#1088;&#1090;&#1080;&#1079;&#1072;&#1094;&#1080;&#1103;%202019_&#1086;&#1090;&#1087;&#1088;&#1072;&#1074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50\&#1055;&#1088;&#1080;&#1073;&#1099;&#1083;&#1100;%20&#1080;%20&#1072;&#1084;&#1086;&#1088;&#1090;&#1080;&#1079;&#1072;&#1094;&#1080;&#1103;%20(2016_04_18)%20&#1041;&#1050;&#106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55;&#1088;&#1080;&#1073;&#1099;&#1083;&#1100;%20&#1080;%20&#1072;&#1084;&#1086;&#1088;&#1090;&#1080;&#1079;&#1072;&#1094;&#1080;&#1103;%20(2016_08_22)%20&#1041;,&#1041;+,&#1062;+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88;&#1072;&#1089;&#1095;&#1077;&#1090;%20&#1079;&#1072;&#1088;&#1087;&#1083;&#1072;&#1090;&#1099;%20&#1073;&#1072;&#1079;%2014%2010%2016%20&#1080;&#1087;&#1094;%204%25%20&#1052;&#1060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55;&#1077;&#1085;&#1089;&#1080;&#1080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50\&#1055;&#1077;&#1085;&#1089;&#1080;&#1080;,%20&#1087;&#1088;&#1086;&#1078;&#1080;&#1090;&#1086;&#1095;&#1085;&#1099;&#1081;%20&#1084;&#1080;&#1085;&#1080;&#1084;&#1091;&#1084;%20&#1073;&#1072;&#1079;&#1086;&#1074;&#1099;&#1081;%20&#1086;&#1073;&#1085;%2028%2006%202016%20&#1076;&#1086;%20203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88;&#1072;&#1089;&#1095;&#1077;&#1090;%20&#1055;&#1052;%20&#1089;&#1074;&#1086;&#1076;%2007%2010%202016%20%20&#1073;&#1072;&#1079;&#1086;&#1074;&#1099;&#1081;-%20&#1076;&#1086;%202019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57;&#1088;&#1072;&#1074;&#1085;&#1080;&#1090;&#1077;&#1083;&#1100;&#1085;&#1072;&#1103;%20&#1087;&#1077;&#1085;&#1089;&#1080;&#1080;,%20&#1055;&#1052;,%20&#1073;&#1077;&#1076;&#1085;&#1086;&#1089;&#1090;&#1100;%2009-2016%20&#1076;&#1086;%202019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60;&#1077;&#1074;&#1088;&#1072;&#1083;&#1100;\&#1041;&#1072;&#1079;&#1086;&#1074;&#1099;&#1081;\&#1087;&#1088;&#1086;&#1075;&#1085;&#1086;&#1079;%2035%20&#1085;&#1077;&#1092;&#1090;&#1100;%2019.02.2016\Exp-Imp-2017_&#1074;&#1072;&#1088;.&#1082;&#1086;&#1085;&#1089;&#1077;&#1088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80;&#1085;&#1092;&#1083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60;&#1077;&#1074;&#1088;&#1072;&#1083;&#1100;\&#1041;&#1072;&#1079;&#1086;&#1074;&#1099;&#1081;\&#1087;&#1088;&#1086;&#1075;&#1085;&#1086;&#1079;%2035%20&#1085;&#1077;&#1092;&#1090;&#1100;%2019.02.2016\EXP-IMP_&#1074;&#1072;&#1088;.&#1082;&#1086;&#1085;&#1089;&#1077;&#1088;&#107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50\BoP-&#1074;&#1072;&#1088;.&#1073;&#1072;&#1079;&#1086;&#1074;&#1099;&#1081;%20&#1085;&#1077;&#1092;&#1090;&#1100;%2040-4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50\&#1050;&#1085;&#1080;&#1075;&#1072;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56;&#1099;&#1085;&#1086;&#1082;%20&#1090;&#1088;&#1091;&#1076;&#1072;%2019-07-2016%20&#1076;&#1086;%202025%20(&#1041;&#1072;&#1079;&#1086;&#1074;&#1099;&#1081;%20&#1084;&#1080;&#1085;&#1091;&#1089;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40;&#1074;&#1075;&#1091;&#1089;&#1090;\&#1062;&#1077;&#1083;&#1077;&#1074;&#1086;&#1081;%20+\18.08.16\&#1057;&#1088;&#1072;&#1074;&#1085;&#1080;&#1090;&#1077;&#1083;&#1100;&#1085;&#1072;&#1103;%20&#1087;&#1086;%20&#1073;&#1077;&#1079;&#1088;&#1072;&#1073;&#1086;&#1090;&#1080;&#1094;&#1077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Users\ZhevnovEP\AppData\Local\Microsoft\Windows\Temporary%20Internet%20Files\Content.Outlook\5E4A2C6V\&#1050;&#1085;&#1080;&#1075;&#1072;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50\&#1057;&#1095;&#1077;&#1090;%20&#1080;&#1089;&#1087;&#1086;&#1083;&#1100;&#1079;&#1086;&#1074;&#1072;&#1085;&#1080;&#110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50;&#1085;&#1080;&#1075;&#1072;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76;&#1077;&#1092;&#1083;%20&#1073;&#1072;&#1079;_25.0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50\&#1080;&#1085;&#1074;&#1077;&#1089;&#1090;&#1080;&#1094;&#1080;&#1080;_2019_&#1041;40_160324_180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48;&#1054;&#1050;_2019_&#1041;%20&#1041;+%20&#1062;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41;&#1044;&#1044;&#1056;&#1053;%2013_10_2016%20-%20(&#1074;&#1072;&#1088;%20&#1073;&#1072;&#1079;%20&#1080;&#1085;&#1092;%204%25)%20%202016-2019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76;&#1077;&#1092;&#1083;&#1103;&#1090;&#1086;&#1088;%2011.10.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Б"/>
      <sheetName val="Б+"/>
      <sheetName val="Ц+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Б"/>
      <sheetName val="Б+"/>
      <sheetName val="Ц+"/>
    </sheetNames>
    <sheetDataSet>
      <sheetData sheetId="0" refreshError="1">
        <row r="6">
          <cell r="H6">
            <v>20214.191046990127</v>
          </cell>
        </row>
      </sheetData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сравн"/>
      <sheetName val="Прибыль и амортизация (2016_04_"/>
    </sheetNames>
    <sheetDataSet>
      <sheetData sheetId="0" refreshError="1">
        <row r="8">
          <cell r="B8">
            <v>4179.4930000000004</v>
          </cell>
          <cell r="C8">
            <v>4751.9269999999997</v>
          </cell>
        </row>
        <row r="9">
          <cell r="B9">
            <v>66859.355500000005</v>
          </cell>
          <cell r="C9">
            <v>77834.534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сравн"/>
    </sheetNames>
    <sheetDataSet>
      <sheetData sheetId="0" refreshError="1">
        <row r="9">
          <cell r="I9">
            <v>97007.066126851831</v>
          </cell>
          <cell r="J9">
            <v>106184.19608486838</v>
          </cell>
          <cell r="K9">
            <v>115251.13893555343</v>
          </cell>
          <cell r="L9">
            <v>124816.7271973364</v>
          </cell>
          <cell r="M9">
            <v>96987.640185135344</v>
          </cell>
          <cell r="N9">
            <v>106252.16835601727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Выход"/>
      <sheetName val="Крым"/>
      <sheetName val="вар баз"/>
      <sheetName val="РТ"/>
      <sheetName val="Макро"/>
      <sheetName val="РЗП свод"/>
      <sheetName val="ФЗП свод"/>
      <sheetName val="Численность свод"/>
      <sheetName val="ЗП свод"/>
      <sheetName val="Обр"/>
      <sheetName val="Здрав"/>
      <sheetName val="лин Прогр"/>
      <sheetName val="лин Фед"/>
      <sheetName val="лин Рег"/>
      <sheetName val="лин Мун"/>
      <sheetName val="Наука"/>
      <sheetName val="Культура"/>
      <sheetName val="Минздрав"/>
      <sheetName val="ГС, ОВД"/>
      <sheetName val="прочие бюджетники"/>
      <sheetName val="лин Фед (сравнение)"/>
      <sheetName val="лин Рег (сравнение)"/>
      <sheetName val="ЦК числ вход"/>
      <sheetName val="ЦК зп вход"/>
      <sheetName val="Числ старая"/>
    </sheetNames>
    <sheetDataSet>
      <sheetData sheetId="0">
        <row r="10">
          <cell r="J10">
            <v>32495.412044222739</v>
          </cell>
          <cell r="P10">
            <v>45893.79079107209</v>
          </cell>
          <cell r="Q10">
            <v>48882.487667558111</v>
          </cell>
          <cell r="R10">
            <v>51797.39721161015</v>
          </cell>
          <cell r="S10">
            <v>54782.528425955032</v>
          </cell>
          <cell r="T10">
            <v>57815.687733081992</v>
          </cell>
          <cell r="U10">
            <v>60850.036393908675</v>
          </cell>
        </row>
        <row r="11">
          <cell r="P11">
            <v>106.48297886729208</v>
          </cell>
          <cell r="Q11">
            <v>106.51220312153301</v>
          </cell>
          <cell r="R11">
            <v>105.96309574888222</v>
          </cell>
          <cell r="S11">
            <v>105.76309114944442</v>
          </cell>
          <cell r="T11">
            <v>105.53672748278974</v>
          </cell>
          <cell r="U11">
            <v>105.24831370135279</v>
          </cell>
        </row>
        <row r="12">
          <cell r="P12">
            <v>102.37689742220574</v>
          </cell>
          <cell r="Q12">
            <v>102.47722057723469</v>
          </cell>
          <cell r="R12">
            <v>102.06384154265203</v>
          </cell>
          <cell r="S12">
            <v>101.96073412836286</v>
          </cell>
          <cell r="T12">
            <v>101.91733278917827</v>
          </cell>
          <cell r="U12">
            <v>101.76476212820332</v>
          </cell>
        </row>
        <row r="23">
          <cell r="J23">
            <v>17737.1917249</v>
          </cell>
          <cell r="P23">
            <v>24048.330150223876</v>
          </cell>
          <cell r="Q23">
            <v>25407.48127783442</v>
          </cell>
          <cell r="R23">
            <v>26763.955139222264</v>
          </cell>
          <cell r="S23">
            <v>28144.202257122277</v>
          </cell>
          <cell r="T23">
            <v>29553.641481572675</v>
          </cell>
          <cell r="U23">
            <v>31010.72899498908</v>
          </cell>
        </row>
        <row r="24">
          <cell r="P24">
            <v>105.76752087892078</v>
          </cell>
          <cell r="Q24">
            <v>105.65174845455077</v>
          </cell>
          <cell r="R24">
            <v>105.33887576873366</v>
          </cell>
          <cell r="S24">
            <v>105.15711190935781</v>
          </cell>
          <cell r="T24">
            <v>105.00792032253719</v>
          </cell>
          <cell r="U24">
            <v>104.93031464269787</v>
          </cell>
        </row>
        <row r="25">
          <cell r="P25">
            <v>23.251556941053263</v>
          </cell>
          <cell r="Q25">
            <v>23.151187715068961</v>
          </cell>
          <cell r="R25">
            <v>23.062798013245668</v>
          </cell>
          <cell r="S25">
            <v>22.998070027351133</v>
          </cell>
          <cell r="T25">
            <v>22.935286723505971</v>
          </cell>
          <cell r="U25">
            <v>22.886613604566129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енсии, ПМ, УБ"/>
    </sheetNames>
    <sheetDataSet>
      <sheetData sheetId="0" refreshError="1">
        <row r="16">
          <cell r="D16">
            <v>11058.765514313083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Аналитический Выход"/>
    </sheetNames>
    <sheetDataSet>
      <sheetData sheetId="0" refreshError="1">
        <row r="13">
          <cell r="P13">
            <v>12833.6</v>
          </cell>
          <cell r="Q13">
            <v>13327.693599999999</v>
          </cell>
          <cell r="R13">
            <v>13820.818263199997</v>
          </cell>
          <cell r="S13">
            <v>14864.290042071598</v>
          </cell>
          <cell r="T13">
            <v>15369.675903502031</v>
          </cell>
          <cell r="U13">
            <v>15869.190370365846</v>
          </cell>
        </row>
        <row r="15">
          <cell r="P15">
            <v>13853.84</v>
          </cell>
          <cell r="Q15">
            <v>14387.21284</v>
          </cell>
          <cell r="R15">
            <v>14919.539715079998</v>
          </cell>
          <cell r="S15">
            <v>16045.96496356854</v>
          </cell>
          <cell r="T15">
            <v>16591.527772329871</v>
          </cell>
          <cell r="U15">
            <v>17130.752424930593</v>
          </cell>
        </row>
        <row r="17">
          <cell r="P17">
            <v>12544.48</v>
          </cell>
          <cell r="Q17">
            <v>13027.44248</v>
          </cell>
          <cell r="R17">
            <v>13509.457851759998</v>
          </cell>
          <cell r="S17">
            <v>14529.421919567882</v>
          </cell>
          <cell r="T17">
            <v>15023.422264833189</v>
          </cell>
          <cell r="U17">
            <v>15511.683488440267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Квартал"/>
      <sheetName val="Год вар Базовый"/>
      <sheetName val="Выход"/>
      <sheetName val="до 2035 год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енсии, ПМ, УБ"/>
    </sheetNames>
    <sheetDataSet>
      <sheetData sheetId="0" refreshError="1">
        <row r="81">
          <cell r="J81">
            <v>0.1339988068442107</v>
          </cell>
          <cell r="K81">
            <v>0.13389876574722367</v>
          </cell>
          <cell r="L81">
            <v>0.13116963600009862</v>
          </cell>
          <cell r="M81">
            <v>0.13280281267668181</v>
          </cell>
          <cell r="N81">
            <v>0.13055125078714541</v>
          </cell>
          <cell r="O81">
            <v>0.1293175176403619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print exp"/>
      <sheetName val="print imp"/>
      <sheetName val="printфиз"/>
    </sheetNames>
    <sheetDataSet>
      <sheetData sheetId="0" refreshError="1">
        <row r="3">
          <cell r="J3">
            <v>523.27500003231</v>
          </cell>
          <cell r="K3">
            <v>497.76299999999998</v>
          </cell>
        </row>
        <row r="7">
          <cell r="K7">
            <v>99.9</v>
          </cell>
        </row>
      </sheetData>
      <sheetData sheetId="1" refreshError="1">
        <row r="4">
          <cell r="N4">
            <v>308.02600000000001</v>
          </cell>
        </row>
        <row r="8">
          <cell r="N8">
            <v>92.1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инф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printфиз"/>
      <sheetName val="print exp"/>
      <sheetName val="pr imp 3"/>
      <sheetName val="print imp"/>
      <sheetName val="print imp v2"/>
      <sheetName val="print exp v2_2020"/>
      <sheetName val="50"/>
      <sheetName val="IM 50"/>
      <sheetName val="EX база"/>
      <sheetName val="Лист1"/>
      <sheetName val="ЕХ"/>
      <sheetName val="ЕХ (2006)"/>
      <sheetName val="IM база"/>
      <sheetName val="IM 2011"/>
      <sheetName val="IM 2030"/>
      <sheetName val="Эластичность"/>
      <sheetName val="shares 2011"/>
      <sheetName val="shares 2030"/>
      <sheetName val="Баланс инв"/>
      <sheetName val="Баланс потр"/>
      <sheetName val="товарооборот"/>
      <sheetName val="exp СНГ-ДЗ"/>
      <sheetName val="imp СНГ-ДЗ"/>
      <sheetName val="Внутрений спрос"/>
      <sheetName val="Exp str"/>
      <sheetName val="Внутр пр-во"/>
      <sheetName val="Дефляторы"/>
    </sheetNames>
    <sheetDataSet>
      <sheetData sheetId="0" refreshError="1">
        <row r="9">
          <cell r="F9">
            <v>111.00606557162803</v>
          </cell>
          <cell r="G9">
            <v>66.178280941913926</v>
          </cell>
          <cell r="H9">
            <v>127.49999261763713</v>
          </cell>
          <cell r="I9">
            <v>119.70019563487648</v>
          </cell>
          <cell r="J9">
            <v>105.7998407641718</v>
          </cell>
          <cell r="K9">
            <v>99.21666318074395</v>
          </cell>
        </row>
      </sheetData>
      <sheetData sheetId="1" refreshError="1">
        <row r="7">
          <cell r="H7">
            <v>97.493555230485555</v>
          </cell>
          <cell r="I7">
            <v>96.687280948757603</v>
          </cell>
          <cell r="J7">
            <v>107</v>
          </cell>
          <cell r="K7">
            <v>98.201174597894564</v>
          </cell>
          <cell r="L7">
            <v>100.29999999999998</v>
          </cell>
          <cell r="M7">
            <v>103.41924433486392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D1-2"/>
      <sheetName val="FDI"/>
      <sheetName val="GDP2"/>
      <sheetName val="reservs"/>
      <sheetName val="Capital"/>
      <sheetName val="график"/>
      <sheetName val="OUTFLOW"/>
      <sheetName val="print"/>
      <sheetName val="print (2)"/>
      <sheetName val="Debt mon"/>
      <sheetName val="Debt"/>
      <sheetName val="Диаграмма1"/>
      <sheetName val="var2 %"/>
      <sheetName val="var2"/>
      <sheetName val="var2%GDP"/>
      <sheetName val="CBR выходная"/>
      <sheetName val="CBR"/>
      <sheetName val="CBR %"/>
      <sheetName val="CBR % ВВП"/>
      <sheetName val="Q"/>
      <sheetName val="investment % GDP"/>
      <sheetName val="investment"/>
      <sheetName val="Лист2"/>
      <sheetName val="value"/>
      <sheetName val="сделка Роснефть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4">
          <cell r="H4">
            <v>58.431999999999952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вар 40"/>
    </sheetNames>
    <sheetDataSet>
      <sheetData sheetId="0" refreshError="1">
        <row r="41">
          <cell r="M41">
            <v>72.038427016605709</v>
          </cell>
          <cell r="N41">
            <v>71.702673833333336</v>
          </cell>
        </row>
        <row r="42">
          <cell r="M42">
            <v>67.900984016605705</v>
          </cell>
          <cell r="N42">
            <v>67.813299999999998</v>
          </cell>
        </row>
        <row r="43">
          <cell r="M43">
            <v>4.1374430000000002</v>
          </cell>
          <cell r="N43">
            <v>3.889373833333333</v>
          </cell>
        </row>
        <row r="44">
          <cell r="M44">
            <v>5.7433833182480107</v>
          </cell>
          <cell r="N44">
            <v>5.4243079447411491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вар баз"/>
    </sheetNames>
    <sheetDataSet>
      <sheetData sheetId="0" refreshError="1">
        <row r="41">
          <cell r="T41">
            <v>71.019444004112472</v>
          </cell>
          <cell r="U41">
            <v>70.4676364649075</v>
          </cell>
          <cell r="V41">
            <v>69.979294927660362</v>
          </cell>
          <cell r="W41">
            <v>69.547114399383247</v>
          </cell>
          <cell r="X41">
            <v>69.205079648858572</v>
          </cell>
          <cell r="Y41">
            <v>68.921391917495484</v>
          </cell>
        </row>
        <row r="42">
          <cell r="T42">
            <v>66.941423065950275</v>
          </cell>
          <cell r="U42">
            <v>66.428628577060479</v>
          </cell>
          <cell r="V42">
            <v>66.036575178343128</v>
          </cell>
          <cell r="W42">
            <v>65.657359475572946</v>
          </cell>
          <cell r="X42">
            <v>65.327602704255312</v>
          </cell>
          <cell r="Y42">
            <v>65.129591198583782</v>
          </cell>
        </row>
        <row r="44">
          <cell r="T44">
            <v>5.7421189300300073</v>
          </cell>
          <cell r="U44">
            <v>5.7317203903361085</v>
          </cell>
          <cell r="V44">
            <v>5.6341232837412045</v>
          </cell>
          <cell r="W44">
            <v>5.59297816653166</v>
          </cell>
          <cell r="X44">
            <v>5.6028791011834622</v>
          </cell>
          <cell r="Y44">
            <v>5.5016310805951072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авнение "/>
    </sheetNames>
    <sheetDataSet>
      <sheetData sheetId="0" refreshError="1">
        <row r="12">
          <cell r="I12">
            <v>4.0780209381622035</v>
          </cell>
          <cell r="J12">
            <v>4.0390078878470259</v>
          </cell>
          <cell r="K12">
            <v>3.9427197493172406</v>
          </cell>
          <cell r="L12">
            <v>3.8897549238103011</v>
          </cell>
          <cell r="M12">
            <v>3.877476944603266</v>
          </cell>
          <cell r="N12">
            <v>3.7918007189116953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ЭКС-ИМ Б"/>
      <sheetName val="Исп кв Расч"/>
    </sheetNames>
    <sheetDataSet>
      <sheetData sheetId="0" refreshError="1">
        <row r="8">
          <cell r="J8">
            <v>64.193381011344385</v>
          </cell>
          <cell r="K8">
            <v>64.413239633789615</v>
          </cell>
          <cell r="L8">
            <v>64.629218125529718</v>
          </cell>
          <cell r="M8">
            <v>64.841316486564722</v>
          </cell>
          <cell r="N8">
            <v>65.049534716894627</v>
          </cell>
          <cell r="O8">
            <v>65.253872816519419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сп кв Расч"/>
      <sheetName val="Импорт"/>
      <sheetName val="Экспорт"/>
      <sheetName val="Лист1"/>
      <sheetName val="ввп струк в тек. ц."/>
      <sheetName val="ввп струк в пред. ц."/>
      <sheetName val="ввп вклад"/>
      <sheetName val="ввп динамика"/>
      <sheetName val="ввп дефл"/>
      <sheetName val="ввп номиналы в тек.ц."/>
    </sheetNames>
    <sheetDataSet>
      <sheetData sheetId="0" refreshError="1">
        <row r="7">
          <cell r="E7">
            <v>66926863.299999997</v>
          </cell>
          <cell r="J7">
            <v>103.5</v>
          </cell>
          <cell r="K7">
            <v>108.31053913769846</v>
          </cell>
          <cell r="M7">
            <v>71016728.700000003</v>
          </cell>
          <cell r="S7">
            <v>104.74920768112032</v>
          </cell>
          <cell r="U7">
            <v>77945071.5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Книга8"/>
    </sheetNames>
    <sheetDataSet>
      <sheetData sheetId="0">
        <row r="20">
          <cell r="F20">
            <v>-3.7000000000000028</v>
          </cell>
          <cell r="G20">
            <v>-0.61404852267554588</v>
          </cell>
          <cell r="J20">
            <v>1.1754732018214753</v>
          </cell>
          <cell r="K20">
            <v>1.2403066966666643</v>
          </cell>
          <cell r="L20" t="e">
            <v>#VALUE!</v>
          </cell>
          <cell r="M20" t="e">
            <v>#VALUE!</v>
          </cell>
          <cell r="N20" t="e">
            <v>#VALUE!</v>
          </cell>
          <cell r="O20" t="e">
            <v>#VALUE!</v>
          </cell>
        </row>
        <row r="21">
          <cell r="J21">
            <v>1.0453452199240472</v>
          </cell>
          <cell r="K21">
            <v>1.0401723579471409</v>
          </cell>
          <cell r="L21" t="e">
            <v>#VALUE!</v>
          </cell>
          <cell r="M21" t="e">
            <v>#VALUE!</v>
          </cell>
          <cell r="N21" t="e">
            <v>#VALUE!</v>
          </cell>
          <cell r="O21" t="e">
            <v>#VALUE!</v>
          </cell>
        </row>
        <row r="25">
          <cell r="J25">
            <v>101.57205682576199</v>
          </cell>
          <cell r="K25">
            <v>102.6</v>
          </cell>
          <cell r="L25">
            <v>103</v>
          </cell>
          <cell r="M25">
            <v>103.1</v>
          </cell>
          <cell r="N25">
            <v>103.28953</v>
          </cell>
          <cell r="O25">
            <v>103.316384</v>
          </cell>
        </row>
        <row r="69">
          <cell r="J69">
            <v>593.30637155171644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</row>
        <row r="93"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167">
          <cell r="J167">
            <v>36.491144032299452</v>
          </cell>
          <cell r="K167">
            <v>36.286394633780588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</row>
        <row r="177">
          <cell r="J177">
            <v>1.0209513371944154</v>
          </cell>
          <cell r="K177">
            <v>1.038437816514429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2.пч1-def"/>
    </sheetNames>
    <sheetDataSet>
      <sheetData sheetId="0" refreshError="1">
        <row r="85">
          <cell r="M85">
            <v>102.7262608112997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4">
          <cell r="C4">
            <v>13902.6</v>
          </cell>
        </row>
        <row r="5">
          <cell r="B5">
            <v>100.84688417555891</v>
          </cell>
          <cell r="C5">
            <v>98.5</v>
          </cell>
        </row>
        <row r="6">
          <cell r="B6">
            <v>106.01815961498468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ИОК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диффер."/>
      <sheetName val="доход"/>
      <sheetName val="расход"/>
      <sheetName val="сбережен"/>
      <sheetName val="баланс"/>
      <sheetName val="баланс02"/>
      <sheetName val="БАЛ"/>
      <sheetName val="2002_2005"/>
      <sheetName val="принт"/>
      <sheetName val="БДДРН"/>
      <sheetName val="структура доходов"/>
      <sheetName val="БДДРН выход"/>
      <sheetName val="Для счетной"/>
      <sheetName val="Таблица от 31.03"/>
      <sheetName val="обязательные платежи, табл"/>
      <sheetName val="гр-к (2)"/>
      <sheetName val="Диаграмма1"/>
      <sheetName val="гр-к"/>
      <sheetName val="кредиты населению"/>
      <sheetName val="кредиты населению (2)"/>
      <sheetName val="Sheet12"/>
      <sheetName val="Темпы роста"/>
      <sheetName val="Расчет номинал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6">
          <cell r="O36">
            <v>89.994436174375707</v>
          </cell>
          <cell r="T36">
            <v>103.58817209999995</v>
          </cell>
          <cell r="U36">
            <v>102.95</v>
          </cell>
          <cell r="V36">
            <v>102.69999999999999</v>
          </cell>
          <cell r="W36">
            <v>102.60000000000002</v>
          </cell>
          <cell r="X36">
            <v>102.39999999999998</v>
          </cell>
          <cell r="Y36">
            <v>102.30000000000001</v>
          </cell>
        </row>
        <row r="39">
          <cell r="T39">
            <v>102.8</v>
          </cell>
          <cell r="U39">
            <v>102.69999999999997</v>
          </cell>
          <cell r="V39">
            <v>102.49999999999999</v>
          </cell>
          <cell r="W39">
            <v>102.4</v>
          </cell>
          <cell r="X39">
            <v>102.3</v>
          </cell>
          <cell r="Y39">
            <v>102.2</v>
          </cell>
        </row>
        <row r="72">
          <cell r="T72">
            <v>101.42301333370499</v>
          </cell>
          <cell r="U72">
            <v>101.88489289873594</v>
          </cell>
          <cell r="V72">
            <v>101.79847342596074</v>
          </cell>
          <cell r="W72">
            <v>101.74453207337054</v>
          </cell>
          <cell r="X72">
            <v>101.68133327502463</v>
          </cell>
          <cell r="Y72">
            <v>101.57869172347046</v>
          </cell>
        </row>
        <row r="76">
          <cell r="T76">
            <v>104.4</v>
          </cell>
          <cell r="U76">
            <v>104.25</v>
          </cell>
          <cell r="V76">
            <v>104.1</v>
          </cell>
          <cell r="W76">
            <v>103.95</v>
          </cell>
          <cell r="X76">
            <v>103.8</v>
          </cell>
          <cell r="Y76">
            <v>103.64999999999999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2.пч1-d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I109"/>
  <sheetViews>
    <sheetView showZeros="0" tabSelected="1" view="pageBreakPreview" zoomScale="70" zoomScaleNormal="75" zoomScaleSheetLayoutView="70" workbookViewId="0">
      <pane xSplit="8" ySplit="6" topLeftCell="P7" activePane="bottomRight" state="frozen"/>
      <selection pane="topRight" activeCell="I1" sqref="I1"/>
      <selection pane="bottomLeft" activeCell="A7" sqref="A7"/>
      <selection pane="bottomRight"/>
    </sheetView>
  </sheetViews>
  <sheetFormatPr defaultRowHeight="16.5"/>
  <cols>
    <col min="1" max="1" width="71.42578125" style="12" customWidth="1"/>
    <col min="2" max="2" width="20.42578125" style="13" customWidth="1"/>
    <col min="3" max="4" width="14.85546875" style="12" hidden="1" customWidth="1"/>
    <col min="5" max="12" width="14.28515625" style="12" hidden="1" customWidth="1"/>
    <col min="13" max="13" width="11.28515625" style="12" hidden="1" customWidth="1"/>
    <col min="14" max="15" width="13" style="12" hidden="1" customWidth="1"/>
    <col min="16" max="16" width="20.140625" style="12" bestFit="1" customWidth="1"/>
    <col min="17" max="17" width="12.42578125" style="92" customWidth="1"/>
    <col min="18" max="18" width="12.7109375" style="92" customWidth="1"/>
    <col min="19" max="20" width="17.28515625" style="92" bestFit="1" customWidth="1"/>
    <col min="21" max="26" width="11.5703125" style="92" hidden="1" customWidth="1"/>
    <col min="27" max="16384" width="9.140625" style="92"/>
  </cols>
  <sheetData>
    <row r="1" spans="1:35">
      <c r="C1" s="8"/>
      <c r="D1" s="8"/>
      <c r="E1" s="8"/>
      <c r="F1" s="8"/>
      <c r="G1" s="11"/>
      <c r="H1" s="11"/>
      <c r="I1" s="11"/>
      <c r="J1" s="11"/>
      <c r="K1" s="11"/>
      <c r="L1" s="11"/>
      <c r="M1" s="8"/>
      <c r="N1" s="11"/>
      <c r="O1" s="8"/>
      <c r="P1" s="8"/>
      <c r="Q1" s="8"/>
      <c r="R1" s="8"/>
    </row>
    <row r="2" spans="1:35" ht="20.25">
      <c r="A2" s="43"/>
      <c r="B2" s="44"/>
      <c r="C2" s="44"/>
      <c r="D2" s="44"/>
      <c r="E2" s="44"/>
      <c r="F2" s="44"/>
      <c r="G2" s="44"/>
      <c r="H2" s="44"/>
      <c r="I2" s="44" t="s">
        <v>0</v>
      </c>
      <c r="J2" s="44"/>
      <c r="K2" s="44"/>
      <c r="L2" s="43"/>
      <c r="M2" s="45" t="s">
        <v>0</v>
      </c>
      <c r="N2" s="46"/>
      <c r="O2" s="45"/>
      <c r="P2" s="43"/>
      <c r="Q2" s="48"/>
      <c r="R2" s="47"/>
      <c r="S2" s="43"/>
    </row>
    <row r="3" spans="1:35" ht="33.75" customHeight="1">
      <c r="A3" s="163" t="s">
        <v>51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</row>
    <row r="4" spans="1:35" ht="29.25" customHeight="1" thickBot="1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</row>
    <row r="5" spans="1:35" ht="32.25" customHeight="1" thickBot="1">
      <c r="A5" s="80">
        <f>R2</f>
        <v>0</v>
      </c>
      <c r="B5" s="81" t="s">
        <v>1</v>
      </c>
      <c r="C5" s="82">
        <v>2002</v>
      </c>
      <c r="D5" s="81">
        <v>2003</v>
      </c>
      <c r="E5" s="81">
        <v>2004</v>
      </c>
      <c r="F5" s="81">
        <v>2005</v>
      </c>
      <c r="G5" s="83">
        <v>2006</v>
      </c>
      <c r="H5" s="83">
        <v>2007</v>
      </c>
      <c r="I5" s="84">
        <v>2008</v>
      </c>
      <c r="J5" s="83">
        <v>2009</v>
      </c>
      <c r="K5" s="24">
        <v>2010</v>
      </c>
      <c r="L5" s="24">
        <v>2011</v>
      </c>
      <c r="M5" s="24">
        <v>2012</v>
      </c>
      <c r="N5" s="24">
        <v>2013</v>
      </c>
      <c r="O5" s="85">
        <v>2014</v>
      </c>
      <c r="P5" s="24">
        <v>2015</v>
      </c>
      <c r="Q5" s="86">
        <v>2016</v>
      </c>
      <c r="R5" s="85">
        <v>2017</v>
      </c>
      <c r="S5" s="24">
        <v>2018</v>
      </c>
      <c r="T5" s="86">
        <v>2019</v>
      </c>
      <c r="U5" s="24">
        <v>2020</v>
      </c>
      <c r="V5" s="86">
        <v>2021</v>
      </c>
      <c r="W5" s="24">
        <v>2022</v>
      </c>
      <c r="X5" s="86">
        <v>2023</v>
      </c>
      <c r="Y5" s="24">
        <v>2024</v>
      </c>
      <c r="Z5" s="86">
        <v>2025</v>
      </c>
    </row>
    <row r="6" spans="1:35" ht="32.25" customHeight="1" thickBot="1">
      <c r="A6" s="87"/>
      <c r="B6" s="66" t="s">
        <v>3</v>
      </c>
      <c r="C6" s="160" t="s">
        <v>4</v>
      </c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25"/>
      <c r="P6" s="24"/>
      <c r="Q6" s="161" t="s">
        <v>2</v>
      </c>
      <c r="R6" s="161"/>
      <c r="S6" s="161"/>
      <c r="T6" s="162"/>
      <c r="U6" s="64"/>
      <c r="V6" s="64"/>
      <c r="W6" s="64"/>
      <c r="X6" s="64"/>
      <c r="Y6" s="64"/>
      <c r="Z6" s="114"/>
    </row>
    <row r="7" spans="1:35" ht="32.25" customHeight="1">
      <c r="A7" s="131" t="s">
        <v>5</v>
      </c>
      <c r="B7" s="26"/>
      <c r="C7" s="67"/>
      <c r="D7" s="26"/>
      <c r="E7" s="26"/>
      <c r="F7" s="26"/>
      <c r="G7" s="26"/>
      <c r="H7" s="26"/>
      <c r="I7" s="27"/>
      <c r="J7" s="26"/>
      <c r="K7" s="28"/>
      <c r="L7" s="28"/>
      <c r="M7" s="28"/>
      <c r="N7" s="28"/>
      <c r="O7" s="26"/>
      <c r="P7" s="56"/>
      <c r="Q7" s="28"/>
      <c r="R7" s="56"/>
      <c r="S7" s="56"/>
      <c r="T7" s="56"/>
      <c r="U7" s="56"/>
      <c r="V7" s="56"/>
      <c r="W7" s="56"/>
      <c r="X7" s="56"/>
      <c r="Y7" s="56"/>
      <c r="Z7" s="56"/>
    </row>
    <row r="8" spans="1:35" ht="39.75" customHeight="1">
      <c r="A8" s="132" t="s">
        <v>24</v>
      </c>
      <c r="B8" s="29" t="s">
        <v>25</v>
      </c>
      <c r="C8" s="68">
        <v>115.1</v>
      </c>
      <c r="D8" s="19">
        <v>112</v>
      </c>
      <c r="E8" s="19">
        <v>111.7</v>
      </c>
      <c r="F8" s="18">
        <v>110.9</v>
      </c>
      <c r="G8" s="18">
        <v>109</v>
      </c>
      <c r="H8" s="19">
        <v>111.9</v>
      </c>
      <c r="I8" s="19">
        <v>113.3</v>
      </c>
      <c r="J8" s="19">
        <v>108.8</v>
      </c>
      <c r="K8" s="19">
        <v>108.8</v>
      </c>
      <c r="L8" s="20">
        <v>106.1</v>
      </c>
      <c r="M8" s="20">
        <v>106.6</v>
      </c>
      <c r="N8" s="20">
        <v>106.5</v>
      </c>
      <c r="O8" s="19">
        <v>111.4</v>
      </c>
      <c r="P8" s="102">
        <v>112.9</v>
      </c>
      <c r="Q8" s="105">
        <v>105.82477550079533</v>
      </c>
      <c r="R8" s="105">
        <v>104.01251615046129</v>
      </c>
      <c r="S8" s="105">
        <v>104.01044151092019</v>
      </c>
      <c r="T8" s="102">
        <v>104.0432990986946</v>
      </c>
      <c r="U8" s="105">
        <v>103.88144969471377</v>
      </c>
      <c r="V8" s="105">
        <v>103.70201495852514</v>
      </c>
      <c r="W8" s="105">
        <v>103.56401690107079</v>
      </c>
      <c r="X8" s="105">
        <v>103.46966420037757</v>
      </c>
      <c r="Y8" s="105">
        <v>103.38914558213231</v>
      </c>
      <c r="Z8" s="102">
        <v>103.32119643104947</v>
      </c>
      <c r="AA8" s="156"/>
      <c r="AC8" s="156"/>
      <c r="AD8" s="156"/>
      <c r="AE8" s="156"/>
      <c r="AG8" s="165"/>
      <c r="AI8" s="156"/>
    </row>
    <row r="9" spans="1:35" ht="41.25" customHeight="1">
      <c r="A9" s="132" t="s">
        <v>6</v>
      </c>
      <c r="B9" s="18" t="s">
        <v>26</v>
      </c>
      <c r="C9" s="68">
        <v>115.8</v>
      </c>
      <c r="D9" s="19">
        <v>113.7</v>
      </c>
      <c r="E9" s="19">
        <v>110.9</v>
      </c>
      <c r="F9" s="20">
        <v>112.7</v>
      </c>
      <c r="G9" s="20">
        <v>109.7</v>
      </c>
      <c r="H9" s="30">
        <v>109</v>
      </c>
      <c r="I9" s="19">
        <v>114.1</v>
      </c>
      <c r="J9" s="19">
        <v>111.7</v>
      </c>
      <c r="K9" s="19">
        <v>106.9</v>
      </c>
      <c r="L9" s="30">
        <v>108.4</v>
      </c>
      <c r="M9" s="30">
        <v>105.1</v>
      </c>
      <c r="N9" s="20">
        <v>106.8</v>
      </c>
      <c r="O9" s="19">
        <v>107.84</v>
      </c>
      <c r="P9" s="102">
        <v>115.5</v>
      </c>
      <c r="Q9" s="102">
        <v>107.1</v>
      </c>
      <c r="R9" s="102">
        <v>104.69837432752823</v>
      </c>
      <c r="S9" s="102">
        <v>104.01367426142389</v>
      </c>
      <c r="T9" s="102">
        <v>104.02753503627579</v>
      </c>
      <c r="U9" s="102" t="e">
        <f>'[2]Свод инф'!G9+100</f>
        <v>#REF!</v>
      </c>
      <c r="V9" s="102" t="e">
        <f>'[2]Свод инф'!H9+100</f>
        <v>#REF!</v>
      </c>
      <c r="W9" s="102" t="e">
        <f>'[2]Свод инф'!I9+100</f>
        <v>#REF!</v>
      </c>
      <c r="X9" s="102" t="e">
        <f>'[2]Свод инф'!J9+100</f>
        <v>#REF!</v>
      </c>
      <c r="Y9" s="102" t="e">
        <f>'[2]Свод инф'!K9+100</f>
        <v>#REF!</v>
      </c>
      <c r="Z9" s="102" t="e">
        <f>'[2]Свод инф'!L9+100</f>
        <v>#REF!</v>
      </c>
      <c r="AC9" s="156"/>
      <c r="AD9" s="156"/>
      <c r="AE9" s="156"/>
    </row>
    <row r="10" spans="1:35" ht="32.25" customHeight="1">
      <c r="A10" s="16" t="s">
        <v>7</v>
      </c>
      <c r="B10" s="37"/>
      <c r="C10" s="69"/>
      <c r="D10" s="17"/>
      <c r="E10" s="17"/>
      <c r="F10" s="17"/>
      <c r="G10" s="17"/>
      <c r="H10" s="17"/>
      <c r="I10" s="42"/>
      <c r="J10" s="42"/>
      <c r="K10" s="42"/>
      <c r="L10" s="42"/>
      <c r="M10" s="42"/>
      <c r="N10" s="42"/>
      <c r="O10" s="42"/>
      <c r="P10" s="50"/>
      <c r="Q10" s="62"/>
      <c r="R10" s="50"/>
      <c r="S10" s="50"/>
      <c r="T10" s="50"/>
      <c r="U10" s="50"/>
      <c r="V10" s="50"/>
      <c r="W10" s="50"/>
      <c r="X10" s="50"/>
      <c r="Y10" s="50"/>
      <c r="Z10" s="50"/>
    </row>
    <row r="11" spans="1:35" ht="32.25" customHeight="1">
      <c r="A11" s="144" t="s">
        <v>29</v>
      </c>
      <c r="B11" s="145" t="s">
        <v>8</v>
      </c>
      <c r="C11" s="146">
        <v>10830.5</v>
      </c>
      <c r="D11" s="147">
        <v>13208.2</v>
      </c>
      <c r="E11" s="147">
        <v>17027.2</v>
      </c>
      <c r="F11" s="148">
        <v>21609.8</v>
      </c>
      <c r="G11" s="148">
        <v>26917.200000000001</v>
      </c>
      <c r="H11" s="148">
        <v>33247.5</v>
      </c>
      <c r="I11" s="116">
        <v>41276.849200000004</v>
      </c>
      <c r="J11" s="116">
        <v>38807.2186</v>
      </c>
      <c r="K11" s="116">
        <v>46308.5412</v>
      </c>
      <c r="L11" s="116">
        <v>55967.226799999997</v>
      </c>
      <c r="M11" s="116">
        <f>'[3]Исп кв Расч'!E7/1000</f>
        <v>66926.863299999997</v>
      </c>
      <c r="N11" s="116">
        <f>'[3]Исп кв Расч'!$M$7/1000</f>
        <v>71016.728700000007</v>
      </c>
      <c r="O11" s="116">
        <f>'[3]Исп кв Расч'!$U$7/1000</f>
        <v>77945.071500000005</v>
      </c>
      <c r="P11" s="101">
        <f>O11*P12/100*P13/100</f>
        <v>80804.310200000007</v>
      </c>
      <c r="Q11" s="51">
        <f>P11*Q12/100*Q13/100</f>
        <v>82815.177604699566</v>
      </c>
      <c r="R11" s="51">
        <v>86806</v>
      </c>
      <c r="S11" s="51">
        <v>92296</v>
      </c>
      <c r="T11" s="51">
        <v>98860</v>
      </c>
      <c r="U11" s="101">
        <f t="shared" ref="U11:Z11" si="0">T11*U12/100*U13/100</f>
        <v>104557.59569602773</v>
      </c>
      <c r="V11" s="101">
        <f t="shared" si="0"/>
        <v>110106.85263195861</v>
      </c>
      <c r="W11" s="101" t="e">
        <f t="shared" si="0"/>
        <v>#VALUE!</v>
      </c>
      <c r="X11" s="101" t="e">
        <f t="shared" si="0"/>
        <v>#VALUE!</v>
      </c>
      <c r="Y11" s="101" t="e">
        <f t="shared" si="0"/>
        <v>#VALUE!</v>
      </c>
      <c r="Z11" s="101" t="e">
        <f t="shared" si="0"/>
        <v>#VALUE!</v>
      </c>
    </row>
    <row r="12" spans="1:35" ht="32.25" customHeight="1">
      <c r="A12" s="144" t="s">
        <v>28</v>
      </c>
      <c r="B12" s="145" t="s">
        <v>26</v>
      </c>
      <c r="C12" s="149">
        <v>104.7</v>
      </c>
      <c r="D12" s="150">
        <v>107.3</v>
      </c>
      <c r="E12" s="150">
        <v>107.2</v>
      </c>
      <c r="F12" s="142">
        <v>106.43</v>
      </c>
      <c r="G12" s="142">
        <v>108.2</v>
      </c>
      <c r="H12" s="142">
        <v>108.47748629585054</v>
      </c>
      <c r="I12" s="150">
        <v>105.2</v>
      </c>
      <c r="J12" s="150">
        <v>92.2</v>
      </c>
      <c r="K12" s="150">
        <v>104.5</v>
      </c>
      <c r="L12" s="150">
        <v>104.3</v>
      </c>
      <c r="M12" s="150">
        <f>'[3]Исп кв Расч'!$J$7</f>
        <v>103.5</v>
      </c>
      <c r="N12" s="150">
        <v>101.3186863793278</v>
      </c>
      <c r="O12" s="150">
        <v>100.7</v>
      </c>
      <c r="P12" s="102">
        <f>[4]Свод!F20+100</f>
        <v>96.3</v>
      </c>
      <c r="Q12" s="49">
        <f>[4]Свод!G20+100</f>
        <v>99.385951477324454</v>
      </c>
      <c r="R12" s="49">
        <v>100.6</v>
      </c>
      <c r="S12" s="49">
        <v>101.7</v>
      </c>
      <c r="T12" s="49">
        <v>102.1</v>
      </c>
      <c r="U12" s="102">
        <f>[4]Свод!J20+100</f>
        <v>101.17547320182148</v>
      </c>
      <c r="V12" s="102">
        <f>[4]Свод!K20+100</f>
        <v>101.24030669666666</v>
      </c>
      <c r="W12" s="102" t="e">
        <f>[4]Свод!L20+100</f>
        <v>#VALUE!</v>
      </c>
      <c r="X12" s="102" t="e">
        <f>[4]Свод!M20+100</f>
        <v>#VALUE!</v>
      </c>
      <c r="Y12" s="102" t="e">
        <f>[4]Свод!N20+100</f>
        <v>#VALUE!</v>
      </c>
      <c r="Z12" s="102" t="e">
        <f>[4]Свод!O20+100</f>
        <v>#VALUE!</v>
      </c>
    </row>
    <row r="13" spans="1:35" ht="32.25" customHeight="1">
      <c r="A13" s="151" t="s">
        <v>9</v>
      </c>
      <c r="B13" s="145" t="s">
        <v>26</v>
      </c>
      <c r="C13" s="149">
        <v>115.7</v>
      </c>
      <c r="D13" s="142">
        <v>113.8</v>
      </c>
      <c r="E13" s="142">
        <v>120.2554631937148</v>
      </c>
      <c r="F13" s="142">
        <v>119.24589789873295</v>
      </c>
      <c r="G13" s="142">
        <v>115.12028952291774</v>
      </c>
      <c r="H13" s="142">
        <v>113.86480333169877</v>
      </c>
      <c r="I13" s="142">
        <v>118</v>
      </c>
      <c r="J13" s="142">
        <v>102</v>
      </c>
      <c r="K13" s="150">
        <f>K11/J11/K12*10000</f>
        <v>114.19110951904953</v>
      </c>
      <c r="L13" s="150">
        <v>115.9</v>
      </c>
      <c r="M13" s="150">
        <f>'[3]Исп кв Расч'!$K$7</f>
        <v>108.31053913769846</v>
      </c>
      <c r="N13" s="150">
        <f>'[3]Исп кв Расч'!$S$7</f>
        <v>104.74920768112032</v>
      </c>
      <c r="O13" s="150">
        <v>108.9</v>
      </c>
      <c r="P13" s="102">
        <v>107.65137474747608</v>
      </c>
      <c r="Q13" s="49">
        <v>103.1217823137641</v>
      </c>
      <c r="R13" s="49">
        <v>104.60984439016055</v>
      </c>
      <c r="S13" s="49">
        <v>104.07858051539107</v>
      </c>
      <c r="T13" s="49">
        <v>104.53452199240472</v>
      </c>
      <c r="U13" s="102">
        <f>[4]Свод!J21*100</f>
        <v>104.53452199240472</v>
      </c>
      <c r="V13" s="102">
        <f>[4]Свод!K21*100</f>
        <v>104.0172357947141</v>
      </c>
      <c r="W13" s="102" t="e">
        <f>[4]Свод!L21*100</f>
        <v>#VALUE!</v>
      </c>
      <c r="X13" s="102" t="e">
        <f>[4]Свод!M21*100</f>
        <v>#VALUE!</v>
      </c>
      <c r="Y13" s="102" t="e">
        <f>[4]Свод!N21*100</f>
        <v>#VALUE!</v>
      </c>
      <c r="Z13" s="102" t="e">
        <f>[4]Свод!O21*100</f>
        <v>#VALUE!</v>
      </c>
    </row>
    <row r="14" spans="1:35" ht="32.25" customHeight="1">
      <c r="A14" s="16" t="s">
        <v>44</v>
      </c>
      <c r="B14" s="37"/>
      <c r="C14" s="69"/>
      <c r="D14" s="17"/>
      <c r="E14" s="17"/>
      <c r="F14" s="17"/>
      <c r="G14" s="17"/>
      <c r="H14" s="17"/>
      <c r="I14" s="42"/>
      <c r="J14" s="42"/>
      <c r="K14" s="42"/>
      <c r="L14" s="42"/>
      <c r="M14" s="42"/>
      <c r="N14" s="42"/>
      <c r="O14" s="42"/>
      <c r="P14" s="50"/>
      <c r="Q14" s="62"/>
      <c r="R14" s="50"/>
      <c r="S14" s="50"/>
      <c r="T14" s="50"/>
      <c r="U14" s="50"/>
      <c r="V14" s="50"/>
      <c r="W14" s="50"/>
      <c r="X14" s="50"/>
      <c r="Y14" s="50"/>
      <c r="Z14" s="50"/>
    </row>
    <row r="15" spans="1:35" ht="32.25" customHeight="1">
      <c r="A15" s="133" t="s">
        <v>29</v>
      </c>
      <c r="B15" s="18" t="s">
        <v>8</v>
      </c>
      <c r="C15" s="70">
        <v>0</v>
      </c>
      <c r="D15" s="22">
        <v>0</v>
      </c>
      <c r="E15" s="22">
        <v>0</v>
      </c>
      <c r="F15" s="31">
        <v>13625.09</v>
      </c>
      <c r="G15" s="31">
        <v>17068.47</v>
      </c>
      <c r="H15" s="31">
        <v>20612.36</v>
      </c>
      <c r="I15" s="31">
        <v>24708.34</v>
      </c>
      <c r="J15" s="31">
        <v>22473</v>
      </c>
      <c r="K15" s="31">
        <v>28763.969000000001</v>
      </c>
      <c r="L15" s="31">
        <v>35052.633000000002</v>
      </c>
      <c r="M15" s="31">
        <v>38220.824000000001</v>
      </c>
      <c r="N15" s="31">
        <v>41372.442000000003</v>
      </c>
      <c r="O15" s="31">
        <v>45116.745999999999</v>
      </c>
      <c r="P15" s="101">
        <v>47969.576000000001</v>
      </c>
      <c r="Q15" s="116">
        <v>49305.355333985863</v>
      </c>
      <c r="R15" s="101">
        <v>51751.841520442518</v>
      </c>
      <c r="S15" s="101">
        <v>54942.310492125929</v>
      </c>
      <c r="T15" s="101">
        <v>58509.792733492308</v>
      </c>
      <c r="U15" s="101" t="e">
        <f t="shared" ref="U15:Z15" si="1">T15*U16/100*U17/100</f>
        <v>#REF!</v>
      </c>
      <c r="V15" s="101" t="e">
        <f t="shared" si="1"/>
        <v>#REF!</v>
      </c>
      <c r="W15" s="101" t="e">
        <f t="shared" si="1"/>
        <v>#REF!</v>
      </c>
      <c r="X15" s="101" t="e">
        <f t="shared" si="1"/>
        <v>#REF!</v>
      </c>
      <c r="Y15" s="101" t="e">
        <f t="shared" si="1"/>
        <v>#REF!</v>
      </c>
      <c r="Z15" s="101" t="e">
        <f t="shared" si="1"/>
        <v>#REF!</v>
      </c>
    </row>
    <row r="16" spans="1:35" ht="32.25" customHeight="1">
      <c r="A16" s="134" t="s">
        <v>27</v>
      </c>
      <c r="B16" s="18" t="s">
        <v>26</v>
      </c>
      <c r="C16" s="71">
        <v>103.1</v>
      </c>
      <c r="D16" s="19">
        <v>108.9</v>
      </c>
      <c r="E16" s="19">
        <v>108</v>
      </c>
      <c r="F16" s="19">
        <v>105.1</v>
      </c>
      <c r="G16" s="32">
        <v>106.3</v>
      </c>
      <c r="H16" s="19">
        <v>106.8</v>
      </c>
      <c r="I16" s="19">
        <v>100.6</v>
      </c>
      <c r="J16" s="19">
        <v>89.3</v>
      </c>
      <c r="K16" s="19">
        <v>107.3</v>
      </c>
      <c r="L16" s="19">
        <v>105</v>
      </c>
      <c r="M16" s="19">
        <v>103.4</v>
      </c>
      <c r="N16" s="19">
        <v>100.4</v>
      </c>
      <c r="O16" s="19">
        <v>101.72902545917717</v>
      </c>
      <c r="P16" s="102">
        <v>96.6</v>
      </c>
      <c r="Q16" s="102">
        <v>100.3608500291935</v>
      </c>
      <c r="R16" s="102">
        <v>101.13023886420135</v>
      </c>
      <c r="S16" s="102">
        <v>101.69953897562394</v>
      </c>
      <c r="T16" s="102">
        <v>102.14818965852348</v>
      </c>
      <c r="U16" s="102" t="e">
        <f>#REF!</f>
        <v>#REF!</v>
      </c>
      <c r="V16" s="102" t="e">
        <f>#REF!</f>
        <v>#REF!</v>
      </c>
      <c r="W16" s="102" t="e">
        <f>#REF!</f>
        <v>#REF!</v>
      </c>
      <c r="X16" s="102" t="e">
        <f>#REF!</f>
        <v>#REF!</v>
      </c>
      <c r="Y16" s="102" t="e">
        <f>#REF!</f>
        <v>#REF!</v>
      </c>
      <c r="Z16" s="102" t="e">
        <f>#REF!</f>
        <v>#REF!</v>
      </c>
    </row>
    <row r="17" spans="1:26" ht="39.75" customHeight="1">
      <c r="A17" s="132" t="s">
        <v>43</v>
      </c>
      <c r="B17" s="18" t="s">
        <v>26</v>
      </c>
      <c r="C17" s="71">
        <v>112.6</v>
      </c>
      <c r="D17" s="19">
        <v>115.7</v>
      </c>
      <c r="E17" s="19">
        <v>124.31932201600245</v>
      </c>
      <c r="F17" s="30">
        <v>122.2754994764871</v>
      </c>
      <c r="G17" s="19">
        <f t="shared" ref="G17:L17" si="2">G15/F15/G16*10000</f>
        <v>117.84792739874413</v>
      </c>
      <c r="H17" s="19">
        <f t="shared" si="2"/>
        <v>113.07377021382983</v>
      </c>
      <c r="I17" s="19">
        <f t="shared" si="2"/>
        <v>119.15653595740412</v>
      </c>
      <c r="J17" s="19">
        <f t="shared" si="2"/>
        <v>101.85117042521991</v>
      </c>
      <c r="K17" s="19">
        <f t="shared" si="2"/>
        <v>119.2856051886889</v>
      </c>
      <c r="L17" s="19">
        <f t="shared" si="2"/>
        <v>116.05999158182934</v>
      </c>
      <c r="M17" s="19">
        <v>104.5</v>
      </c>
      <c r="N17" s="19">
        <v>106.3</v>
      </c>
      <c r="O17" s="19">
        <v>107.1</v>
      </c>
      <c r="P17" s="102">
        <v>113.99524865514401</v>
      </c>
      <c r="Q17" s="102">
        <v>102.41507378558853</v>
      </c>
      <c r="R17" s="102">
        <v>103.78884575480285</v>
      </c>
      <c r="S17" s="102">
        <v>104.3907761270426</v>
      </c>
      <c r="T17" s="102">
        <v>104.2535774363888</v>
      </c>
      <c r="U17" s="102">
        <f>'[5]2.пч1-def'!M85</f>
        <v>102.7262608112997</v>
      </c>
      <c r="V17" s="102" t="e">
        <f>'[5]2.пч1-def'!N85</f>
        <v>#REF!</v>
      </c>
      <c r="W17" s="102" t="e">
        <f>'[5]2.пч1-def'!O85</f>
        <v>#REF!</v>
      </c>
      <c r="X17" s="102" t="e">
        <f>'[5]2.пч1-def'!P85</f>
        <v>#REF!</v>
      </c>
      <c r="Y17" s="102" t="e">
        <f>'[5]2.пч1-def'!Q85</f>
        <v>#REF!</v>
      </c>
      <c r="Z17" s="102" t="e">
        <f>'[5]2.пч1-def'!R85</f>
        <v>#REF!</v>
      </c>
    </row>
    <row r="18" spans="1:26" ht="32.25" customHeight="1">
      <c r="A18" s="135" t="s">
        <v>30</v>
      </c>
      <c r="B18" s="37"/>
      <c r="C18" s="69"/>
      <c r="D18" s="17"/>
      <c r="E18" s="17"/>
      <c r="F18" s="17"/>
      <c r="G18" s="17"/>
      <c r="H18" s="17"/>
      <c r="I18" s="42"/>
      <c r="J18" s="42"/>
      <c r="K18" s="42"/>
      <c r="L18" s="42"/>
      <c r="M18" s="42"/>
      <c r="N18" s="42"/>
      <c r="O18" s="42"/>
      <c r="P18" s="52"/>
      <c r="Q18" s="42"/>
      <c r="R18" s="52"/>
      <c r="S18" s="52"/>
      <c r="T18" s="52"/>
      <c r="U18" s="52"/>
      <c r="V18" s="52"/>
      <c r="W18" s="52"/>
      <c r="X18" s="52"/>
      <c r="Y18" s="52"/>
      <c r="Z18" s="52"/>
    </row>
    <row r="19" spans="1:26" ht="32.25" customHeight="1">
      <c r="A19" s="133" t="s">
        <v>28</v>
      </c>
      <c r="B19" s="18" t="s">
        <v>26</v>
      </c>
      <c r="C19" s="71">
        <v>101.5</v>
      </c>
      <c r="D19" s="19">
        <v>99.9</v>
      </c>
      <c r="E19" s="19">
        <v>102.4</v>
      </c>
      <c r="F19" s="19">
        <v>101.6</v>
      </c>
      <c r="G19" s="29">
        <v>103</v>
      </c>
      <c r="H19" s="19">
        <v>103.3</v>
      </c>
      <c r="I19" s="19">
        <v>110.8</v>
      </c>
      <c r="J19" s="19">
        <v>101.4</v>
      </c>
      <c r="K19" s="19">
        <v>88.7</v>
      </c>
      <c r="L19" s="19">
        <v>123</v>
      </c>
      <c r="M19" s="19">
        <v>95.2</v>
      </c>
      <c r="N19" s="19">
        <v>106.2</v>
      </c>
      <c r="O19" s="19">
        <v>103.72013485050471</v>
      </c>
      <c r="P19" s="49">
        <v>102.6</v>
      </c>
      <c r="Q19" s="19">
        <v>103.2</v>
      </c>
      <c r="R19" s="49">
        <v>99.4</v>
      </c>
      <c r="S19" s="49">
        <v>101.5</v>
      </c>
      <c r="T19" s="49">
        <v>101.7</v>
      </c>
      <c r="U19" s="49">
        <v>102.3</v>
      </c>
      <c r="V19" s="49">
        <v>102</v>
      </c>
      <c r="W19" s="49">
        <v>101.8</v>
      </c>
      <c r="X19" s="49">
        <v>101.8</v>
      </c>
      <c r="Y19" s="49">
        <v>101.7</v>
      </c>
      <c r="Z19" s="49">
        <v>101.8</v>
      </c>
    </row>
    <row r="20" spans="1:26" ht="32.25" customHeight="1">
      <c r="A20" s="115" t="s">
        <v>10</v>
      </c>
      <c r="B20" s="18" t="s">
        <v>26</v>
      </c>
      <c r="C20" s="71">
        <v>105.4</v>
      </c>
      <c r="D20" s="19">
        <v>111.3</v>
      </c>
      <c r="E20" s="19">
        <v>113.7</v>
      </c>
      <c r="F20" s="20">
        <v>108.5</v>
      </c>
      <c r="G20" s="19">
        <v>110.4</v>
      </c>
      <c r="H20" s="19">
        <v>119.1</v>
      </c>
      <c r="I20" s="19">
        <v>115</v>
      </c>
      <c r="J20" s="19">
        <v>100.82606098335741</v>
      </c>
      <c r="K20" s="19">
        <v>115.91279453504761</v>
      </c>
      <c r="L20" s="19">
        <v>102.50281876862648</v>
      </c>
      <c r="M20" s="19">
        <v>107.58050972137079</v>
      </c>
      <c r="N20" s="19">
        <v>104.42174197651654</v>
      </c>
      <c r="O20" s="19">
        <v>113.17770481759612</v>
      </c>
      <c r="P20" s="49">
        <v>113.50085035459252</v>
      </c>
      <c r="Q20" s="49">
        <v>102.15058795525447</v>
      </c>
      <c r="R20" s="49">
        <v>104.32124626835599</v>
      </c>
      <c r="S20" s="49">
        <v>104.53604495663495</v>
      </c>
      <c r="T20" s="49">
        <v>104.81106504119452</v>
      </c>
      <c r="U20" s="49">
        <v>104</v>
      </c>
      <c r="V20" s="49">
        <v>103.925</v>
      </c>
      <c r="W20" s="49">
        <v>103.77500000000001</v>
      </c>
      <c r="X20" s="49">
        <v>103.625</v>
      </c>
      <c r="Y20" s="49">
        <v>103.47499999999999</v>
      </c>
      <c r="Z20" s="49">
        <v>103.325</v>
      </c>
    </row>
    <row r="21" spans="1:26" ht="32.25" customHeight="1">
      <c r="A21" s="136" t="s">
        <v>31</v>
      </c>
      <c r="B21" s="37"/>
      <c r="C21" s="69"/>
      <c r="D21" s="17"/>
      <c r="E21" s="17"/>
      <c r="F21" s="17"/>
      <c r="G21" s="17"/>
      <c r="H21" s="17"/>
      <c r="I21" s="42"/>
      <c r="J21" s="42"/>
      <c r="K21" s="42"/>
      <c r="L21" s="42"/>
      <c r="M21" s="42"/>
      <c r="N21" s="42"/>
      <c r="O21" s="42"/>
      <c r="P21" s="52"/>
      <c r="Q21" s="42"/>
      <c r="R21" s="52"/>
      <c r="S21" s="52"/>
      <c r="T21" s="52"/>
      <c r="U21" s="52"/>
      <c r="V21" s="52"/>
      <c r="W21" s="52"/>
      <c r="X21" s="52"/>
      <c r="Y21" s="52"/>
      <c r="Z21" s="52"/>
    </row>
    <row r="22" spans="1:26" ht="32.25" customHeight="1">
      <c r="A22" s="133" t="s">
        <v>29</v>
      </c>
      <c r="B22" s="18" t="s">
        <v>8</v>
      </c>
      <c r="C22" s="70">
        <v>1762.4</v>
      </c>
      <c r="D22" s="22">
        <v>2186.1999999999998</v>
      </c>
      <c r="E22" s="22">
        <v>2865</v>
      </c>
      <c r="F22" s="22">
        <v>3611.1</v>
      </c>
      <c r="G22" s="19">
        <v>4730</v>
      </c>
      <c r="H22" s="22">
        <v>6716</v>
      </c>
      <c r="I22" s="31">
        <v>8781.6</v>
      </c>
      <c r="J22" s="31">
        <v>7976</v>
      </c>
      <c r="K22" s="31">
        <v>9152.1</v>
      </c>
      <c r="L22" s="31">
        <v>11035.7</v>
      </c>
      <c r="M22" s="31">
        <v>12586.1</v>
      </c>
      <c r="N22" s="31">
        <v>13450</v>
      </c>
      <c r="O22" s="31">
        <f>[6]Лист1!$C$4</f>
        <v>13902.6</v>
      </c>
      <c r="P22" s="117">
        <v>14555.914335999589</v>
      </c>
      <c r="Q22" s="109">
        <v>15160.648013572925</v>
      </c>
      <c r="R22" s="109">
        <v>15904.651258439904</v>
      </c>
      <c r="S22" s="109">
        <v>16766.125978317796</v>
      </c>
      <c r="T22" s="109">
        <v>17816.767694397728</v>
      </c>
      <c r="U22" s="117" t="e">
        <f t="shared" ref="U22:Z22" si="3">T22*U23/100*U24/100</f>
        <v>#REF!</v>
      </c>
      <c r="V22" s="117" t="e">
        <f t="shared" si="3"/>
        <v>#REF!</v>
      </c>
      <c r="W22" s="117" t="e">
        <f t="shared" si="3"/>
        <v>#REF!</v>
      </c>
      <c r="X22" s="117" t="e">
        <f t="shared" si="3"/>
        <v>#REF!</v>
      </c>
      <c r="Y22" s="117" t="e">
        <f t="shared" si="3"/>
        <v>#REF!</v>
      </c>
      <c r="Z22" s="117" t="e">
        <f t="shared" si="3"/>
        <v>#REF!</v>
      </c>
    </row>
    <row r="23" spans="1:26" ht="32.25" customHeight="1">
      <c r="A23" s="133" t="s">
        <v>28</v>
      </c>
      <c r="B23" s="18" t="s">
        <v>26</v>
      </c>
      <c r="C23" s="71">
        <v>102.8</v>
      </c>
      <c r="D23" s="19">
        <v>112.5</v>
      </c>
      <c r="E23" s="19">
        <v>116.8</v>
      </c>
      <c r="F23" s="19">
        <v>110.2</v>
      </c>
      <c r="G23" s="19">
        <v>117.8</v>
      </c>
      <c r="H23" s="19">
        <v>123.8</v>
      </c>
      <c r="I23" s="19">
        <v>109.5</v>
      </c>
      <c r="J23" s="19">
        <v>86.5</v>
      </c>
      <c r="K23" s="19">
        <v>106.3</v>
      </c>
      <c r="L23" s="19">
        <v>110.8</v>
      </c>
      <c r="M23" s="19">
        <v>106.8</v>
      </c>
      <c r="N23" s="19">
        <f>[6]Лист1!B$5</f>
        <v>100.84688417555891</v>
      </c>
      <c r="O23" s="19">
        <f>[6]Лист1!C$5</f>
        <v>98.5</v>
      </c>
      <c r="P23" s="102">
        <v>91.551323709234254</v>
      </c>
      <c r="Q23" s="49">
        <v>96.331012406032812</v>
      </c>
      <c r="R23" s="49">
        <v>99.5</v>
      </c>
      <c r="S23" s="49">
        <v>100.94556101335861</v>
      </c>
      <c r="T23" s="49">
        <v>101.57205682576199</v>
      </c>
      <c r="U23" s="102">
        <f>[4]Свод!J25</f>
        <v>101.57205682576199</v>
      </c>
      <c r="V23" s="102">
        <f>[4]Свод!K25</f>
        <v>102.6</v>
      </c>
      <c r="W23" s="102">
        <f>[4]Свод!L25</f>
        <v>103</v>
      </c>
      <c r="X23" s="102">
        <f>[4]Свод!M25</f>
        <v>103.1</v>
      </c>
      <c r="Y23" s="102">
        <f>[4]Свод!N25</f>
        <v>103.28953</v>
      </c>
      <c r="Z23" s="102">
        <f>[4]Свод!O25</f>
        <v>103.316384</v>
      </c>
    </row>
    <row r="24" spans="1:26" ht="32.25" customHeight="1">
      <c r="A24" s="115" t="s">
        <v>10</v>
      </c>
      <c r="B24" s="18" t="s">
        <v>26</v>
      </c>
      <c r="C24" s="71">
        <v>113.9</v>
      </c>
      <c r="D24" s="19">
        <v>110.26378171180711</v>
      </c>
      <c r="E24" s="19">
        <v>112.2</v>
      </c>
      <c r="F24" s="19">
        <v>114.4</v>
      </c>
      <c r="G24" s="19">
        <v>111.2</v>
      </c>
      <c r="H24" s="19">
        <v>114.7</v>
      </c>
      <c r="I24" s="19">
        <v>119.4</v>
      </c>
      <c r="J24" s="19">
        <v>105</v>
      </c>
      <c r="K24" s="19">
        <v>107.9</v>
      </c>
      <c r="L24" s="19">
        <v>108.82767944560828</v>
      </c>
      <c r="M24" s="19">
        <v>106.78740657788229</v>
      </c>
      <c r="N24" s="19">
        <f>[6]Лист1!B$6</f>
        <v>106.01815961498468</v>
      </c>
      <c r="O24" s="19">
        <v>104.9300135100854</v>
      </c>
      <c r="P24" s="105">
        <v>114.33599958770296</v>
      </c>
      <c r="Q24" s="49">
        <v>108.12152166399756</v>
      </c>
      <c r="R24" s="49">
        <v>105.43463653252003</v>
      </c>
      <c r="S24" s="49">
        <v>104.42905506973455</v>
      </c>
      <c r="T24" s="49">
        <v>104.62174162876576</v>
      </c>
      <c r="U24" s="105" t="e">
        <f>[7]ИОК!G6</f>
        <v>#REF!</v>
      </c>
      <c r="V24" s="105" t="e">
        <f>[7]ИОК!H6</f>
        <v>#REF!</v>
      </c>
      <c r="W24" s="105" t="e">
        <f>[7]ИОК!I6</f>
        <v>#REF!</v>
      </c>
      <c r="X24" s="105" t="e">
        <f>[7]ИОК!J6</f>
        <v>#REF!</v>
      </c>
      <c r="Y24" s="105" t="e">
        <f>[7]ИОК!K6</f>
        <v>#REF!</v>
      </c>
      <c r="Z24" s="105" t="e">
        <f>[7]ИОК!L6</f>
        <v>#REF!</v>
      </c>
    </row>
    <row r="25" spans="1:26" ht="32.25" customHeight="1">
      <c r="A25" s="16" t="s">
        <v>11</v>
      </c>
      <c r="B25" s="37"/>
      <c r="C25" s="69"/>
      <c r="D25" s="17"/>
      <c r="E25" s="17"/>
      <c r="F25" s="17"/>
      <c r="G25" s="17"/>
      <c r="H25" s="17"/>
      <c r="I25" s="42"/>
      <c r="J25" s="42"/>
      <c r="K25" s="42"/>
      <c r="L25" s="42"/>
      <c r="M25" s="42"/>
      <c r="N25" s="42"/>
      <c r="O25" s="42"/>
      <c r="P25" s="52"/>
      <c r="Q25" s="42"/>
      <c r="R25" s="52"/>
      <c r="S25" s="52"/>
      <c r="T25" s="52"/>
      <c r="U25" s="52"/>
      <c r="V25" s="52"/>
      <c r="W25" s="52"/>
      <c r="X25" s="52"/>
      <c r="Y25" s="52"/>
      <c r="Z25" s="52"/>
    </row>
    <row r="26" spans="1:26" ht="32.25" customHeight="1">
      <c r="A26" s="133" t="s">
        <v>29</v>
      </c>
      <c r="B26" s="29" t="s">
        <v>8</v>
      </c>
      <c r="C26" s="70">
        <v>3765.4</v>
      </c>
      <c r="D26" s="22">
        <v>4529.7</v>
      </c>
      <c r="E26" s="22">
        <v>5642.5</v>
      </c>
      <c r="F26" s="22">
        <v>7041.5</v>
      </c>
      <c r="G26" s="22">
        <v>8711.9</v>
      </c>
      <c r="H26" s="22">
        <v>10869</v>
      </c>
      <c r="I26" s="31">
        <v>13944.2</v>
      </c>
      <c r="J26" s="31">
        <v>14599.2</v>
      </c>
      <c r="K26" s="31">
        <v>16512</v>
      </c>
      <c r="L26" s="31">
        <v>19104.3</v>
      </c>
      <c r="M26" s="31">
        <v>21394.5</v>
      </c>
      <c r="N26" s="31">
        <v>23686</v>
      </c>
      <c r="O26" s="31">
        <v>26356.199999999997</v>
      </c>
      <c r="P26" s="117">
        <v>27538.400000000001</v>
      </c>
      <c r="Q26" s="117">
        <v>28214.816170162627</v>
      </c>
      <c r="R26" s="117">
        <v>29812.781235654926</v>
      </c>
      <c r="S26" s="117">
        <v>31471.346180326866</v>
      </c>
      <c r="T26" s="117">
        <v>33418.777783165307</v>
      </c>
      <c r="U26" s="117" t="e">
        <f t="shared" ref="U26:Z26" si="4">T26*U27/100*U28/100</f>
        <v>#REF!</v>
      </c>
      <c r="V26" s="117" t="e">
        <f t="shared" si="4"/>
        <v>#REF!</v>
      </c>
      <c r="W26" s="117" t="e">
        <f t="shared" si="4"/>
        <v>#REF!</v>
      </c>
      <c r="X26" s="117" t="e">
        <f t="shared" si="4"/>
        <v>#REF!</v>
      </c>
      <c r="Y26" s="117" t="e">
        <f t="shared" si="4"/>
        <v>#REF!</v>
      </c>
      <c r="Z26" s="117" t="e">
        <f t="shared" si="4"/>
        <v>#REF!</v>
      </c>
    </row>
    <row r="27" spans="1:26" ht="32.25" customHeight="1">
      <c r="A27" s="133" t="s">
        <v>28</v>
      </c>
      <c r="B27" s="18" t="s">
        <v>26</v>
      </c>
      <c r="C27" s="71">
        <v>109.3</v>
      </c>
      <c r="D27" s="19">
        <v>108.8</v>
      </c>
      <c r="E27" s="19">
        <v>113.3</v>
      </c>
      <c r="F27" s="19">
        <v>112.8</v>
      </c>
      <c r="G27" s="19">
        <v>114.1</v>
      </c>
      <c r="H27" s="19">
        <v>116.1</v>
      </c>
      <c r="I27" s="19">
        <v>113.7</v>
      </c>
      <c r="J27" s="19">
        <v>94.9</v>
      </c>
      <c r="K27" s="19">
        <v>106.5</v>
      </c>
      <c r="L27" s="19">
        <v>107.1</v>
      </c>
      <c r="M27" s="19">
        <v>106.3</v>
      </c>
      <c r="N27" s="19">
        <v>103.9</v>
      </c>
      <c r="O27" s="19">
        <v>102.7</v>
      </c>
      <c r="P27" s="102">
        <v>89.994436174375707</v>
      </c>
      <c r="Q27" s="102">
        <v>95.399999999999991</v>
      </c>
      <c r="R27" s="102">
        <v>100.6</v>
      </c>
      <c r="S27" s="102">
        <v>101.1</v>
      </c>
      <c r="T27" s="102">
        <v>101.84899999999998</v>
      </c>
      <c r="U27" s="102">
        <f>[8]БДДРН!T36</f>
        <v>103.58817209999995</v>
      </c>
      <c r="V27" s="102">
        <f>[8]БДДРН!U36</f>
        <v>102.95</v>
      </c>
      <c r="W27" s="102">
        <f>[8]БДДРН!V36</f>
        <v>102.69999999999999</v>
      </c>
      <c r="X27" s="102">
        <f>[8]БДДРН!W36</f>
        <v>102.60000000000002</v>
      </c>
      <c r="Y27" s="102">
        <f>[8]БДДРН!X36</f>
        <v>102.39999999999998</v>
      </c>
      <c r="Z27" s="102">
        <f>[8]БДДРН!Y36</f>
        <v>102.30000000000001</v>
      </c>
    </row>
    <row r="28" spans="1:26" ht="32.25" customHeight="1">
      <c r="A28" s="115" t="s">
        <v>10</v>
      </c>
      <c r="B28" s="18" t="s">
        <v>26</v>
      </c>
      <c r="C28" s="71">
        <v>112.2</v>
      </c>
      <c r="D28" s="19">
        <v>110.55822910775827</v>
      </c>
      <c r="E28" s="19">
        <v>109.94024218382812</v>
      </c>
      <c r="F28" s="19">
        <v>110.5876722050468</v>
      </c>
      <c r="G28" s="19">
        <v>108.4</v>
      </c>
      <c r="H28" s="19">
        <v>107.5</v>
      </c>
      <c r="I28" s="19">
        <v>112.83492634317074</v>
      </c>
      <c r="J28" s="19">
        <v>110.32380769059229</v>
      </c>
      <c r="K28" s="19">
        <v>106.19914346068742</v>
      </c>
      <c r="L28" s="19">
        <v>108.02940362191389</v>
      </c>
      <c r="M28" s="19">
        <v>105.35077805719162</v>
      </c>
      <c r="N28" s="19">
        <v>106.55504973472468</v>
      </c>
      <c r="O28" s="19">
        <v>107.6</v>
      </c>
      <c r="P28" s="102">
        <v>116.25926817198615</v>
      </c>
      <c r="Q28" s="102">
        <v>107.39650453317311</v>
      </c>
      <c r="R28" s="102">
        <v>105.03336696749723</v>
      </c>
      <c r="S28" s="102">
        <v>104.41470631864085</v>
      </c>
      <c r="T28" s="102">
        <v>104.26018064797972</v>
      </c>
      <c r="U28" s="102" t="e">
        <f>'[9]2.пч1-def'!N109</f>
        <v>#REF!</v>
      </c>
      <c r="V28" s="102" t="e">
        <f>'[9]2.пч1-def'!O109</f>
        <v>#REF!</v>
      </c>
      <c r="W28" s="102" t="e">
        <f>'[9]2.пч1-def'!P109</f>
        <v>#REF!</v>
      </c>
      <c r="X28" s="102" t="e">
        <f>'[9]2.пч1-def'!Q109</f>
        <v>#REF!</v>
      </c>
      <c r="Y28" s="102" t="e">
        <f>'[9]2.пч1-def'!R109</f>
        <v>#REF!</v>
      </c>
      <c r="Z28" s="102" t="e">
        <f>'[9]2.пч1-def'!S109</f>
        <v>#REF!</v>
      </c>
    </row>
    <row r="29" spans="1:26" ht="32.25" customHeight="1">
      <c r="A29" s="136" t="s">
        <v>12</v>
      </c>
      <c r="B29" s="37"/>
      <c r="C29" s="69"/>
      <c r="D29" s="17"/>
      <c r="E29" s="17"/>
      <c r="F29" s="17"/>
      <c r="G29" s="17"/>
      <c r="H29" s="17"/>
      <c r="I29" s="42"/>
      <c r="J29" s="42"/>
      <c r="K29" s="42"/>
      <c r="L29" s="42"/>
      <c r="M29" s="42"/>
      <c r="N29" s="42"/>
      <c r="O29" s="42"/>
      <c r="P29" s="52"/>
      <c r="Q29" s="42"/>
      <c r="R29" s="52"/>
      <c r="S29" s="52"/>
      <c r="T29" s="52"/>
      <c r="U29" s="52"/>
      <c r="V29" s="52"/>
      <c r="W29" s="52"/>
      <c r="X29" s="52"/>
      <c r="Y29" s="52"/>
      <c r="Z29" s="52"/>
    </row>
    <row r="30" spans="1:26" ht="32.25" customHeight="1">
      <c r="A30" s="133" t="s">
        <v>29</v>
      </c>
      <c r="B30" s="29" t="s">
        <v>8</v>
      </c>
      <c r="C30" s="72">
        <v>1088</v>
      </c>
      <c r="D30" s="22">
        <v>1431</v>
      </c>
      <c r="E30" s="22">
        <v>1789.8</v>
      </c>
      <c r="F30" s="22">
        <v>2271.6799999999998</v>
      </c>
      <c r="G30" s="22">
        <v>2798.8999999999996</v>
      </c>
      <c r="H30" s="22">
        <v>3424.7760741000002</v>
      </c>
      <c r="I30" s="31">
        <v>4079.6</v>
      </c>
      <c r="J30" s="31">
        <v>4504.4999999999991</v>
      </c>
      <c r="K30" s="31">
        <v>4944</v>
      </c>
      <c r="L30" s="31">
        <v>5541</v>
      </c>
      <c r="M30" s="31">
        <v>6037</v>
      </c>
      <c r="N30" s="31">
        <v>6927.4</v>
      </c>
      <c r="O30" s="31">
        <v>7466.62</v>
      </c>
      <c r="P30" s="51">
        <v>7882.2</v>
      </c>
      <c r="Q30" s="109">
        <v>8361.431487737218</v>
      </c>
      <c r="R30" s="109">
        <v>8691.7734759776595</v>
      </c>
      <c r="S30" s="109">
        <v>9091.3483625284443</v>
      </c>
      <c r="T30" s="109">
        <v>9604.5567341111237</v>
      </c>
      <c r="U30" s="117">
        <f t="shared" ref="U30:Z30" si="5">T30*U31/100*U32/100</f>
        <v>10307.917632863549</v>
      </c>
      <c r="V30" s="117">
        <f t="shared" si="5"/>
        <v>11036.146243831276</v>
      </c>
      <c r="W30" s="117">
        <f t="shared" si="5"/>
        <v>11775.843945824066</v>
      </c>
      <c r="X30" s="117">
        <f t="shared" si="5"/>
        <v>12534.773536444536</v>
      </c>
      <c r="Y30" s="117">
        <f t="shared" si="5"/>
        <v>13310.350114238505</v>
      </c>
      <c r="Z30" s="117">
        <f t="shared" si="5"/>
        <v>14099.693807063191</v>
      </c>
    </row>
    <row r="31" spans="1:26" ht="32.25" customHeight="1">
      <c r="A31" s="133" t="s">
        <v>28</v>
      </c>
      <c r="B31" s="18" t="s">
        <v>26</v>
      </c>
      <c r="C31" s="72">
        <v>103.7</v>
      </c>
      <c r="D31" s="19">
        <v>106.6</v>
      </c>
      <c r="E31" s="20">
        <v>108.4</v>
      </c>
      <c r="F31" s="19">
        <v>106.3</v>
      </c>
      <c r="G31" s="20">
        <v>107.6</v>
      </c>
      <c r="H31" s="19">
        <v>107.7</v>
      </c>
      <c r="I31" s="19">
        <v>104.3</v>
      </c>
      <c r="J31" s="19">
        <v>97.5</v>
      </c>
      <c r="K31" s="19">
        <v>101.5</v>
      </c>
      <c r="L31" s="19">
        <v>103.2</v>
      </c>
      <c r="M31" s="19">
        <v>103.5</v>
      </c>
      <c r="N31" s="19">
        <v>102</v>
      </c>
      <c r="O31" s="19">
        <v>101.1</v>
      </c>
      <c r="P31" s="102">
        <v>98</v>
      </c>
      <c r="Q31" s="49">
        <v>99.500000000000014</v>
      </c>
      <c r="R31" s="49">
        <v>100.69999999999999</v>
      </c>
      <c r="S31" s="49">
        <v>101.29999999999998</v>
      </c>
      <c r="T31" s="49">
        <v>102</v>
      </c>
      <c r="U31" s="102">
        <f>[8]БДДРН!T39</f>
        <v>102.8</v>
      </c>
      <c r="V31" s="102">
        <f>[8]БДДРН!U39</f>
        <v>102.69999999999997</v>
      </c>
      <c r="W31" s="102">
        <f>[8]БДДРН!V39</f>
        <v>102.49999999999999</v>
      </c>
      <c r="X31" s="102">
        <f>[8]БДДРН!W39</f>
        <v>102.4</v>
      </c>
      <c r="Y31" s="102">
        <f>[8]БДДРН!X39</f>
        <v>102.3</v>
      </c>
      <c r="Z31" s="102">
        <f>[8]БДДРН!Y39</f>
        <v>102.2</v>
      </c>
    </row>
    <row r="32" spans="1:26" ht="32.25" customHeight="1">
      <c r="A32" s="115" t="s">
        <v>10</v>
      </c>
      <c r="B32" s="18" t="s">
        <v>26</v>
      </c>
      <c r="C32" s="72">
        <v>129.30000000000001</v>
      </c>
      <c r="D32" s="19">
        <v>123.32443326789853</v>
      </c>
      <c r="E32" s="19">
        <v>115.3813424926702</v>
      </c>
      <c r="F32" s="19">
        <v>119.4</v>
      </c>
      <c r="G32" s="19">
        <f>G30/F30/G31*10000</f>
        <v>114.50592418116381</v>
      </c>
      <c r="H32" s="19">
        <f>H30/G30/H31*10000</f>
        <v>113.61327930162776</v>
      </c>
      <c r="I32" s="19">
        <v>114.26295659811301</v>
      </c>
      <c r="J32" s="19">
        <v>113.2</v>
      </c>
      <c r="K32" s="19">
        <f>K30/J30/K31*10000</f>
        <v>108.13488646000962</v>
      </c>
      <c r="L32" s="19">
        <f>L30/K30/L31*10000</f>
        <v>108.6000413938436</v>
      </c>
      <c r="M32" s="19">
        <f>M30/L30/M31*10000</f>
        <v>105.26710416072717</v>
      </c>
      <c r="N32" s="19">
        <v>107.6</v>
      </c>
      <c r="O32" s="19">
        <v>106.61115008629703</v>
      </c>
      <c r="P32" s="102">
        <v>109.04068146382544</v>
      </c>
      <c r="Q32" s="49">
        <v>106.61298535173158</v>
      </c>
      <c r="R32" s="49">
        <v>103.228185396847</v>
      </c>
      <c r="S32" s="49">
        <v>103.25484872709221</v>
      </c>
      <c r="T32" s="49">
        <v>103.57354835369006</v>
      </c>
      <c r="U32" s="102">
        <f>[8]БДДРН!T76</f>
        <v>104.4</v>
      </c>
      <c r="V32" s="102">
        <f>[8]БДДРН!U76</f>
        <v>104.25</v>
      </c>
      <c r="W32" s="102">
        <f>[8]БДДРН!V76</f>
        <v>104.1</v>
      </c>
      <c r="X32" s="102">
        <f>[8]БДДРН!W76</f>
        <v>103.95</v>
      </c>
      <c r="Y32" s="102">
        <f>[8]БДДРН!X76</f>
        <v>103.8</v>
      </c>
      <c r="Z32" s="102">
        <f>[8]БДДРН!Y76</f>
        <v>103.64999999999999</v>
      </c>
    </row>
    <row r="33" spans="1:26" ht="32.25" customHeight="1">
      <c r="A33" s="115"/>
      <c r="B33" s="18"/>
      <c r="C33" s="72"/>
      <c r="D33" s="19"/>
      <c r="E33" s="19"/>
      <c r="F33" s="20"/>
      <c r="G33" s="33"/>
      <c r="H33" s="34"/>
      <c r="I33" s="38"/>
      <c r="J33" s="19"/>
      <c r="K33" s="19"/>
      <c r="L33" s="21"/>
      <c r="M33" s="21"/>
      <c r="N33" s="21"/>
      <c r="O33" s="19"/>
      <c r="P33" s="49"/>
      <c r="Q33" s="21"/>
      <c r="R33" s="63"/>
      <c r="S33" s="63"/>
      <c r="T33" s="63"/>
      <c r="U33" s="63"/>
      <c r="V33" s="63"/>
      <c r="W33" s="63"/>
      <c r="X33" s="63"/>
      <c r="Y33" s="63"/>
      <c r="Z33" s="63"/>
    </row>
    <row r="34" spans="1:26" ht="32.25" customHeight="1">
      <c r="A34" s="16" t="s">
        <v>13</v>
      </c>
      <c r="B34" s="118" t="s">
        <v>8</v>
      </c>
      <c r="C34" s="73">
        <v>1141.2149999999999</v>
      </c>
      <c r="D34" s="35">
        <v>2324.3389999999999</v>
      </c>
      <c r="E34" s="35">
        <v>3214.19</v>
      </c>
      <c r="F34" s="35">
        <v>4555.58</v>
      </c>
      <c r="G34" s="35">
        <v>7145</v>
      </c>
      <c r="H34" s="35">
        <v>7290</v>
      </c>
      <c r="I34" s="35">
        <v>3985</v>
      </c>
      <c r="J34" s="35">
        <v>5335</v>
      </c>
      <c r="K34" s="35">
        <v>7870</v>
      </c>
      <c r="L34" s="35">
        <v>8442.8148220000003</v>
      </c>
      <c r="M34" s="35">
        <v>10675.098951</v>
      </c>
      <c r="N34" s="35">
        <v>8701.4696659999991</v>
      </c>
      <c r="O34" s="35">
        <v>5993.6046931999999</v>
      </c>
      <c r="P34" s="53">
        <v>9687.4799757000001</v>
      </c>
      <c r="Q34" s="53">
        <v>9374.9135894703613</v>
      </c>
      <c r="R34" s="53">
        <v>9494.1453004074319</v>
      </c>
      <c r="S34" s="53">
        <v>10341.099189259918</v>
      </c>
      <c r="T34" s="53">
        <v>11589.526449753726</v>
      </c>
      <c r="U34" s="53" t="e">
        <f>[10]Б!I5</f>
        <v>#REF!</v>
      </c>
      <c r="V34" s="53" t="e">
        <f>[10]Б!J5</f>
        <v>#REF!</v>
      </c>
      <c r="W34" s="53" t="e">
        <f>[10]Б!K5</f>
        <v>#REF!</v>
      </c>
      <c r="X34" s="53" t="e">
        <f>[10]Б!L5</f>
        <v>#REF!</v>
      </c>
      <c r="Y34" s="53" t="e">
        <f>[10]Б!M5</f>
        <v>#REF!</v>
      </c>
      <c r="Z34" s="53" t="e">
        <f>[10]Б!N5</f>
        <v>#REF!</v>
      </c>
    </row>
    <row r="35" spans="1:26" ht="32.25" customHeight="1">
      <c r="A35" s="133" t="s">
        <v>41</v>
      </c>
      <c r="B35" s="18" t="s">
        <v>26</v>
      </c>
      <c r="C35" s="72"/>
      <c r="D35" s="20">
        <f t="shared" ref="D35:O35" si="6">D34/C34*100</f>
        <v>203.6723141564035</v>
      </c>
      <c r="E35" s="20">
        <f t="shared" si="6"/>
        <v>138.2840454856198</v>
      </c>
      <c r="F35" s="20">
        <f t="shared" si="6"/>
        <v>141.73337606053158</v>
      </c>
      <c r="G35" s="20">
        <f t="shared" si="6"/>
        <v>156.84062183080968</v>
      </c>
      <c r="H35" s="20">
        <f t="shared" si="6"/>
        <v>102.0293911826452</v>
      </c>
      <c r="I35" s="20">
        <f t="shared" si="6"/>
        <v>54.6639231824417</v>
      </c>
      <c r="J35" s="20">
        <f t="shared" si="6"/>
        <v>133.87703889585947</v>
      </c>
      <c r="K35" s="20">
        <f t="shared" si="6"/>
        <v>147.51640112464855</v>
      </c>
      <c r="L35" s="20">
        <f t="shared" si="6"/>
        <v>107.27846025412961</v>
      </c>
      <c r="M35" s="20">
        <f t="shared" si="6"/>
        <v>126.44004607542961</v>
      </c>
      <c r="N35" s="20">
        <f t="shared" si="6"/>
        <v>81.511840835769306</v>
      </c>
      <c r="O35" s="20">
        <f t="shared" si="6"/>
        <v>68.880372204471698</v>
      </c>
      <c r="P35" s="54">
        <v>161.63027879851435</v>
      </c>
      <c r="Q35" s="20">
        <v>96.77350160192664</v>
      </c>
      <c r="R35" s="54">
        <v>101.27181663915268</v>
      </c>
      <c r="S35" s="54">
        <v>108.920801842122</v>
      </c>
      <c r="T35" s="54">
        <v>112.07248124832225</v>
      </c>
      <c r="U35" s="54" t="e">
        <f t="shared" ref="U35:Z35" si="7">U34/T34*100</f>
        <v>#REF!</v>
      </c>
      <c r="V35" s="54" t="e">
        <f t="shared" si="7"/>
        <v>#REF!</v>
      </c>
      <c r="W35" s="54" t="e">
        <f t="shared" si="7"/>
        <v>#REF!</v>
      </c>
      <c r="X35" s="54" t="e">
        <f t="shared" si="7"/>
        <v>#REF!</v>
      </c>
      <c r="Y35" s="54" t="e">
        <f t="shared" si="7"/>
        <v>#REF!</v>
      </c>
      <c r="Z35" s="54" t="e">
        <f t="shared" si="7"/>
        <v>#REF!</v>
      </c>
    </row>
    <row r="36" spans="1:26" ht="40.5">
      <c r="A36" s="136" t="s">
        <v>14</v>
      </c>
      <c r="B36" s="118" t="s">
        <v>8</v>
      </c>
      <c r="C36" s="73">
        <v>1621.2950000000001</v>
      </c>
      <c r="D36" s="35">
        <v>2888.761</v>
      </c>
      <c r="E36" s="35">
        <v>3724.09</v>
      </c>
      <c r="F36" s="35">
        <v>5198.7</v>
      </c>
      <c r="G36" s="35">
        <v>7759.98</v>
      </c>
      <c r="H36" s="35">
        <v>8223.35</v>
      </c>
      <c r="I36" s="35">
        <v>7048.08</v>
      </c>
      <c r="J36" s="35">
        <v>7570</v>
      </c>
      <c r="K36" s="35">
        <v>9365</v>
      </c>
      <c r="L36" s="35">
        <v>10726.057864</v>
      </c>
      <c r="M36" s="35">
        <v>12574.147824999998</v>
      </c>
      <c r="N36" s="35">
        <v>12399.587546999999</v>
      </c>
      <c r="O36" s="35">
        <v>14271.8592121</v>
      </c>
      <c r="P36" s="53">
        <v>17139.557769699997</v>
      </c>
      <c r="Q36" s="53">
        <v>17012.441148416685</v>
      </c>
      <c r="R36" s="53">
        <v>17499.721530002716</v>
      </c>
      <c r="S36" s="53">
        <v>18852.983894081317</v>
      </c>
      <c r="T36" s="53">
        <v>20706.767954462961</v>
      </c>
      <c r="U36" s="53">
        <f>[11]Б!H6</f>
        <v>20214.191046990127</v>
      </c>
      <c r="V36" s="53" t="e">
        <f>[11]Б!I6</f>
        <v>#REF!</v>
      </c>
      <c r="W36" s="53" t="e">
        <f>[11]Б!J6</f>
        <v>#REF!</v>
      </c>
      <c r="X36" s="53" t="e">
        <f>[11]Б!K6</f>
        <v>#REF!</v>
      </c>
      <c r="Y36" s="53" t="e">
        <f>[11]Б!L6</f>
        <v>#REF!</v>
      </c>
      <c r="Z36" s="53" t="e">
        <f>[11]Б!M6</f>
        <v>#REF!</v>
      </c>
    </row>
    <row r="37" spans="1:26" ht="32.25" customHeight="1">
      <c r="A37" s="133" t="s">
        <v>41</v>
      </c>
      <c r="B37" s="18" t="s">
        <v>26</v>
      </c>
      <c r="C37" s="72"/>
      <c r="D37" s="20">
        <f>D36/C36*100</f>
        <v>178.17614931274073</v>
      </c>
      <c r="E37" s="20">
        <f t="shared" ref="E37:O37" si="8">E36/D36*100</f>
        <v>128.91651472724811</v>
      </c>
      <c r="F37" s="20">
        <f t="shared" si="8"/>
        <v>139.59651888112262</v>
      </c>
      <c r="G37" s="20">
        <f t="shared" si="8"/>
        <v>149.26770154076979</v>
      </c>
      <c r="H37" s="20">
        <f t="shared" si="8"/>
        <v>105.97127827649042</v>
      </c>
      <c r="I37" s="20">
        <f t="shared" si="8"/>
        <v>85.708135978646169</v>
      </c>
      <c r="J37" s="20">
        <f t="shared" si="8"/>
        <v>107.40513728561538</v>
      </c>
      <c r="K37" s="20">
        <f t="shared" si="8"/>
        <v>123.71202113606341</v>
      </c>
      <c r="L37" s="20">
        <f t="shared" si="8"/>
        <v>114.53345289909235</v>
      </c>
      <c r="M37" s="20">
        <f t="shared" si="8"/>
        <v>117.22990855011855</v>
      </c>
      <c r="N37" s="20">
        <f t="shared" si="8"/>
        <v>98.611752617915499</v>
      </c>
      <c r="O37" s="20">
        <f t="shared" si="8"/>
        <v>115.0994672847242</v>
      </c>
      <c r="P37" s="54">
        <v>120.09337756897642</v>
      </c>
      <c r="Q37" s="20">
        <v>99.258343634116201</v>
      </c>
      <c r="R37" s="54">
        <v>102.86425902864258</v>
      </c>
      <c r="S37" s="54">
        <v>107.73305084745763</v>
      </c>
      <c r="T37" s="54">
        <v>109.83284169124876</v>
      </c>
      <c r="U37" s="54">
        <f t="shared" ref="U37:Z37" si="9">U36/T36*100</f>
        <v>97.621179178923143</v>
      </c>
      <c r="V37" s="54" t="e">
        <f t="shared" si="9"/>
        <v>#REF!</v>
      </c>
      <c r="W37" s="54" t="e">
        <f t="shared" si="9"/>
        <v>#REF!</v>
      </c>
      <c r="X37" s="54" t="e">
        <f t="shared" si="9"/>
        <v>#REF!</v>
      </c>
      <c r="Y37" s="54" t="e">
        <f t="shared" si="9"/>
        <v>#REF!</v>
      </c>
      <c r="Z37" s="54" t="e">
        <f t="shared" si="9"/>
        <v>#REF!</v>
      </c>
    </row>
    <row r="38" spans="1:26" ht="32.25" customHeight="1">
      <c r="A38" s="16" t="s">
        <v>15</v>
      </c>
      <c r="B38" s="118" t="s">
        <v>8</v>
      </c>
      <c r="C38" s="74">
        <v>714.8</v>
      </c>
      <c r="D38" s="36">
        <v>833.5</v>
      </c>
      <c r="E38" s="37">
        <v>917</v>
      </c>
      <c r="F38" s="37">
        <v>1199</v>
      </c>
      <c r="G38" s="36">
        <v>1270.3397259999999</v>
      </c>
      <c r="H38" s="36">
        <v>1541.9876099999999</v>
      </c>
      <c r="I38" s="35">
        <v>1907.6192370000001</v>
      </c>
      <c r="J38" s="35">
        <v>2348.6406069999998</v>
      </c>
      <c r="K38" s="35">
        <v>2668.8122899999998</v>
      </c>
      <c r="L38" s="35">
        <v>3148.2489999999998</v>
      </c>
      <c r="M38" s="35">
        <v>3665.2890000000002</v>
      </c>
      <c r="N38" s="35">
        <f>[12]сравн!B8</f>
        <v>4179.4930000000004</v>
      </c>
      <c r="O38" s="35">
        <f>[12]сравн!C8</f>
        <v>4751.9269999999997</v>
      </c>
      <c r="P38" s="53">
        <v>5323.9849999999997</v>
      </c>
      <c r="Q38" s="53">
        <v>6017.1349188550321</v>
      </c>
      <c r="R38" s="53">
        <v>6576.740803822564</v>
      </c>
      <c r="S38" s="53">
        <v>7108.5496555381023</v>
      </c>
      <c r="T38" s="53">
        <v>7651.9249566818953</v>
      </c>
      <c r="U38" s="53">
        <v>8509.5322746811617</v>
      </c>
      <c r="V38" s="53">
        <v>9217.6888486693806</v>
      </c>
      <c r="W38" s="53">
        <v>9985.8138812080888</v>
      </c>
      <c r="X38" s="53">
        <v>10815.821344102933</v>
      </c>
      <c r="Y38" s="53">
        <v>11708.731324831671</v>
      </c>
      <c r="Z38" s="53">
        <v>12663.186093106542</v>
      </c>
    </row>
    <row r="39" spans="1:26" ht="32.25" customHeight="1">
      <c r="A39" s="133" t="s">
        <v>41</v>
      </c>
      <c r="B39" s="18" t="s">
        <v>26</v>
      </c>
      <c r="C39" s="75"/>
      <c r="D39" s="20">
        <f>D38/C38*100</f>
        <v>116.60604364857303</v>
      </c>
      <c r="E39" s="20">
        <f t="shared" ref="E39:O39" si="10">E38/D38*100</f>
        <v>110.01799640071985</v>
      </c>
      <c r="F39" s="20">
        <f t="shared" si="10"/>
        <v>130.752453653217</v>
      </c>
      <c r="G39" s="20">
        <f t="shared" si="10"/>
        <v>105.94993544620517</v>
      </c>
      <c r="H39" s="20">
        <f t="shared" si="10"/>
        <v>121.38387696142945</v>
      </c>
      <c r="I39" s="20">
        <f t="shared" si="10"/>
        <v>123.71170978474983</v>
      </c>
      <c r="J39" s="20">
        <f t="shared" si="10"/>
        <v>123.11894121457738</v>
      </c>
      <c r="K39" s="20">
        <f t="shared" si="10"/>
        <v>113.63221269553738</v>
      </c>
      <c r="L39" s="20">
        <f t="shared" si="10"/>
        <v>117.96442229363385</v>
      </c>
      <c r="M39" s="20">
        <f t="shared" si="10"/>
        <v>116.42309741065591</v>
      </c>
      <c r="N39" s="20">
        <f t="shared" si="10"/>
        <v>114.02901653866857</v>
      </c>
      <c r="O39" s="20">
        <f t="shared" si="10"/>
        <v>113.69625454570684</v>
      </c>
      <c r="P39" s="54">
        <v>112.03844250974396</v>
      </c>
      <c r="Q39" s="20">
        <v>113.01938151319044</v>
      </c>
      <c r="R39" s="54">
        <v>109.30020503967719</v>
      </c>
      <c r="S39" s="54">
        <v>108.0862066421477</v>
      </c>
      <c r="T39" s="54">
        <v>107.64396856566181</v>
      </c>
      <c r="U39" s="54">
        <f t="shared" ref="U39:Z39" si="11">U38/T38*100</f>
        <v>111.2077329933872</v>
      </c>
      <c r="V39" s="54">
        <f t="shared" si="11"/>
        <v>108.32192124231355</v>
      </c>
      <c r="W39" s="54">
        <f t="shared" si="11"/>
        <v>108.33316295602222</v>
      </c>
      <c r="X39" s="54">
        <f t="shared" si="11"/>
        <v>108.31186594071018</v>
      </c>
      <c r="Y39" s="54">
        <f t="shared" si="11"/>
        <v>108.25559106720615</v>
      </c>
      <c r="Z39" s="54">
        <f t="shared" si="11"/>
        <v>108.15164975432205</v>
      </c>
    </row>
    <row r="40" spans="1:26" ht="40.5">
      <c r="A40" s="136" t="s">
        <v>16</v>
      </c>
      <c r="B40" s="118" t="s">
        <v>8</v>
      </c>
      <c r="C40" s="74">
        <v>13439</v>
      </c>
      <c r="D40" s="36">
        <v>15811.6</v>
      </c>
      <c r="E40" s="37">
        <v>16929</v>
      </c>
      <c r="F40" s="36">
        <v>21353</v>
      </c>
      <c r="G40" s="36">
        <v>25304.303072999999</v>
      </c>
      <c r="H40" s="36">
        <v>28201.557950499999</v>
      </c>
      <c r="I40" s="35">
        <v>34124.515608500005</v>
      </c>
      <c r="J40" s="36">
        <v>39002.242534500001</v>
      </c>
      <c r="K40" s="36">
        <v>45194.742761499998</v>
      </c>
      <c r="L40" s="36">
        <v>53370.761500000008</v>
      </c>
      <c r="M40" s="36">
        <v>60045.228500000005</v>
      </c>
      <c r="N40" s="36">
        <f>[12]сравн!B9</f>
        <v>66859.355500000005</v>
      </c>
      <c r="O40" s="36">
        <f>[12]сравн!C9</f>
        <v>77834.534</v>
      </c>
      <c r="P40" s="53">
        <v>85809.192999999999</v>
      </c>
      <c r="Q40" s="53">
        <v>96981.019210059923</v>
      </c>
      <c r="R40" s="53">
        <v>106000.45284616422</v>
      </c>
      <c r="S40" s="53">
        <v>114571.86850491739</v>
      </c>
      <c r="T40" s="53">
        <v>123329.70611852466</v>
      </c>
      <c r="U40" s="53">
        <f>[13]сравн!I9</f>
        <v>97007.066126851831</v>
      </c>
      <c r="V40" s="53">
        <f>[13]сравн!J9</f>
        <v>106184.19608486838</v>
      </c>
      <c r="W40" s="53">
        <f>[13]сравн!K9</f>
        <v>115251.13893555343</v>
      </c>
      <c r="X40" s="53">
        <f>[13]сравн!L9</f>
        <v>124816.7271973364</v>
      </c>
      <c r="Y40" s="53">
        <f>[13]сравн!M9</f>
        <v>96987.640185135344</v>
      </c>
      <c r="Z40" s="53">
        <f>[13]сравн!N9</f>
        <v>106252.16835601727</v>
      </c>
    </row>
    <row r="41" spans="1:26" ht="32.25" customHeight="1">
      <c r="A41" s="133"/>
      <c r="B41" s="18"/>
      <c r="C41" s="72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54"/>
      <c r="Q41" s="20"/>
      <c r="R41" s="54"/>
      <c r="S41" s="54"/>
      <c r="T41" s="54"/>
      <c r="U41" s="54"/>
      <c r="V41" s="54"/>
      <c r="W41" s="54"/>
      <c r="X41" s="54"/>
      <c r="Y41" s="54"/>
      <c r="Z41" s="54"/>
    </row>
    <row r="42" spans="1:26" ht="42.75" customHeight="1">
      <c r="A42" s="135" t="s">
        <v>52</v>
      </c>
      <c r="B42" s="37"/>
      <c r="C42" s="69"/>
      <c r="D42" s="17"/>
      <c r="E42" s="17"/>
      <c r="F42" s="17"/>
      <c r="G42" s="17"/>
      <c r="H42" s="17"/>
      <c r="I42" s="42"/>
      <c r="J42" s="42"/>
      <c r="K42" s="42"/>
      <c r="L42" s="42"/>
      <c r="M42" s="42"/>
      <c r="N42" s="42"/>
      <c r="O42" s="42"/>
      <c r="P42" s="52"/>
      <c r="Q42" s="42"/>
      <c r="R42" s="52"/>
      <c r="S42" s="52"/>
      <c r="T42" s="52"/>
      <c r="U42" s="52"/>
      <c r="V42" s="52"/>
      <c r="W42" s="52"/>
      <c r="X42" s="52"/>
      <c r="Y42" s="52"/>
      <c r="Z42" s="52"/>
    </row>
    <row r="43" spans="1:26" ht="32.25" customHeight="1">
      <c r="A43" s="115" t="s">
        <v>29</v>
      </c>
      <c r="B43" s="29" t="s">
        <v>8</v>
      </c>
      <c r="C43" s="70">
        <v>2648</v>
      </c>
      <c r="D43" s="22">
        <v>3291</v>
      </c>
      <c r="E43" s="22">
        <v>3973</v>
      </c>
      <c r="F43" s="22">
        <v>4947.8655751349997</v>
      </c>
      <c r="G43" s="22">
        <v>6137.4103837899829</v>
      </c>
      <c r="H43" s="22">
        <v>7983.5138182760702</v>
      </c>
      <c r="I43" s="22">
        <v>10241.875281390163</v>
      </c>
      <c r="J43" s="22">
        <v>10607.173963264002</v>
      </c>
      <c r="K43" s="23">
        <v>11746.466293452766</v>
      </c>
      <c r="L43" s="22">
        <v>12864.0060085</v>
      </c>
      <c r="M43" s="22">
        <v>14666.669642700001</v>
      </c>
      <c r="N43" s="22">
        <v>16379.2510719</v>
      </c>
      <c r="O43" s="22">
        <f>[14]Выход!J23</f>
        <v>17737.1917249</v>
      </c>
      <c r="P43" s="103">
        <v>18419.437459299999</v>
      </c>
      <c r="Q43" s="103">
        <v>19564.613392356005</v>
      </c>
      <c r="R43" s="103">
        <v>20475.932627653987</v>
      </c>
      <c r="S43" s="103">
        <v>21636.942433688419</v>
      </c>
      <c r="T43" s="103">
        <v>22736.970622345987</v>
      </c>
      <c r="U43" s="103">
        <f>[14]Выход!P23</f>
        <v>24048.330150223876</v>
      </c>
      <c r="V43" s="103">
        <f>[14]Выход!Q23</f>
        <v>25407.48127783442</v>
      </c>
      <c r="W43" s="103">
        <f>[14]Выход!R23</f>
        <v>26763.955139222264</v>
      </c>
      <c r="X43" s="103">
        <f>[14]Выход!S23</f>
        <v>28144.202257122277</v>
      </c>
      <c r="Y43" s="103">
        <f>[14]Выход!T23</f>
        <v>29553.641481572675</v>
      </c>
      <c r="Z43" s="103">
        <f>[14]Выход!U23</f>
        <v>31010.72899498908</v>
      </c>
    </row>
    <row r="44" spans="1:26" ht="32.25" customHeight="1">
      <c r="A44" s="133" t="s">
        <v>41</v>
      </c>
      <c r="B44" s="18" t="s">
        <v>26</v>
      </c>
      <c r="C44" s="76">
        <v>24.449471400212364</v>
      </c>
      <c r="D44" s="20">
        <f>D43/C43*100</f>
        <v>124.28247734138974</v>
      </c>
      <c r="E44" s="20">
        <f t="shared" ref="E44:O44" si="12">E43/D43*100</f>
        <v>120.72318444241871</v>
      </c>
      <c r="F44" s="20">
        <f t="shared" si="12"/>
        <v>124.53726592335765</v>
      </c>
      <c r="G44" s="20">
        <f t="shared" si="12"/>
        <v>124.04157490924817</v>
      </c>
      <c r="H44" s="20">
        <f t="shared" si="12"/>
        <v>130.07951756594252</v>
      </c>
      <c r="I44" s="20">
        <f t="shared" si="12"/>
        <v>128.28781304222449</v>
      </c>
      <c r="J44" s="20">
        <f t="shared" si="12"/>
        <v>103.56671675681892</v>
      </c>
      <c r="K44" s="20">
        <f t="shared" si="12"/>
        <v>110.74077161489473</v>
      </c>
      <c r="L44" s="20">
        <f t="shared" si="12"/>
        <v>109.51383749911348</v>
      </c>
      <c r="M44" s="20">
        <f t="shared" si="12"/>
        <v>114.01323687977816</v>
      </c>
      <c r="N44" s="20">
        <f t="shared" si="12"/>
        <v>111.67668919339435</v>
      </c>
      <c r="O44" s="20">
        <f t="shared" si="12"/>
        <v>108.29061504118258</v>
      </c>
      <c r="P44" s="104">
        <v>103.84641348518684</v>
      </c>
      <c r="Q44" s="104">
        <v>106.21721448109591</v>
      </c>
      <c r="R44" s="104">
        <v>104.65799766661394</v>
      </c>
      <c r="S44" s="104">
        <v>105.67011929149648</v>
      </c>
      <c r="T44" s="104">
        <v>105.08402789363085</v>
      </c>
      <c r="U44" s="104">
        <f>[14]Выход!P24</f>
        <v>105.76752087892078</v>
      </c>
      <c r="V44" s="104">
        <f>[14]Выход!Q24</f>
        <v>105.65174845455077</v>
      </c>
      <c r="W44" s="104">
        <f>[14]Выход!R24</f>
        <v>105.33887576873366</v>
      </c>
      <c r="X44" s="104">
        <f>[14]Выход!S24</f>
        <v>105.15711190935781</v>
      </c>
      <c r="Y44" s="104">
        <f>[14]Выход!T24</f>
        <v>105.00792032253719</v>
      </c>
      <c r="Z44" s="104">
        <f>[14]Выход!U24</f>
        <v>104.93031464269787</v>
      </c>
    </row>
    <row r="45" spans="1:26" ht="32.25" customHeight="1" thickBot="1">
      <c r="A45" s="137" t="s">
        <v>38</v>
      </c>
      <c r="B45" s="126" t="s">
        <v>17</v>
      </c>
      <c r="C45" s="89">
        <v>24.449471400212364</v>
      </c>
      <c r="D45" s="90">
        <v>24.916339849487436</v>
      </c>
      <c r="E45" s="90">
        <v>23.333255027250516</v>
      </c>
      <c r="F45" s="90">
        <v>22.896396889998982</v>
      </c>
      <c r="G45" s="90">
        <v>22.801072859695594</v>
      </c>
      <c r="H45" s="90">
        <v>24.012373316117213</v>
      </c>
      <c r="I45" s="90">
        <f>I43/I11*100</f>
        <v>24.812638270341044</v>
      </c>
      <c r="J45" s="90">
        <f t="shared" ref="J45:O45" si="13">J43/J11*100</f>
        <v>27.332992020366031</v>
      </c>
      <c r="K45" s="90">
        <f t="shared" si="13"/>
        <v>25.365658232941197</v>
      </c>
      <c r="L45" s="90">
        <f t="shared" si="13"/>
        <v>22.984890879924752</v>
      </c>
      <c r="M45" s="90">
        <f t="shared" si="13"/>
        <v>21.914473381124381</v>
      </c>
      <c r="N45" s="90">
        <f t="shared" si="13"/>
        <v>23.063933486843361</v>
      </c>
      <c r="O45" s="90">
        <f t="shared" si="13"/>
        <v>22.756014438834661</v>
      </c>
      <c r="P45" s="157">
        <v>22.79511750513031</v>
      </c>
      <c r="Q45" s="157">
        <v>23.624429673680684</v>
      </c>
      <c r="R45" s="157">
        <v>23.58815361571088</v>
      </c>
      <c r="S45" s="157">
        <v>23.442990415281724</v>
      </c>
      <c r="T45" s="157">
        <v>22.999161058411882</v>
      </c>
      <c r="U45" s="104">
        <f>[14]Выход!P25</f>
        <v>23.251556941053263</v>
      </c>
      <c r="V45" s="104">
        <f>[14]Выход!Q25</f>
        <v>23.151187715068961</v>
      </c>
      <c r="W45" s="104">
        <f>[14]Выход!R25</f>
        <v>23.062798013245668</v>
      </c>
      <c r="X45" s="104">
        <f>[14]Выход!S25</f>
        <v>22.998070027351133</v>
      </c>
      <c r="Y45" s="104">
        <f>[14]Выход!T25</f>
        <v>22.935286723505971</v>
      </c>
      <c r="Z45" s="104">
        <f>[14]Выход!U25</f>
        <v>22.886613604566129</v>
      </c>
    </row>
    <row r="46" spans="1:26" ht="40.5" customHeight="1">
      <c r="A46" s="135" t="s">
        <v>53</v>
      </c>
      <c r="B46" s="118" t="s">
        <v>21</v>
      </c>
      <c r="C46" s="73">
        <v>4360</v>
      </c>
      <c r="D46" s="35">
        <v>5499</v>
      </c>
      <c r="E46" s="35">
        <v>6740</v>
      </c>
      <c r="F46" s="36">
        <v>8555.0719799446924</v>
      </c>
      <c r="G46" s="36">
        <v>10634</v>
      </c>
      <c r="H46" s="35">
        <v>13593.030080325701</v>
      </c>
      <c r="I46" s="35">
        <v>17290.035225561693</v>
      </c>
      <c r="J46" s="36">
        <v>18637.618020768896</v>
      </c>
      <c r="K46" s="36">
        <v>20950.936767900574</v>
      </c>
      <c r="L46" s="36">
        <v>23369.188905280742</v>
      </c>
      <c r="M46" s="36">
        <v>26628.879210273688</v>
      </c>
      <c r="N46" s="36">
        <v>29791.957273214997</v>
      </c>
      <c r="O46" s="36">
        <f>[14]Выход!$J$10</f>
        <v>32495.412044222739</v>
      </c>
      <c r="P46" s="53">
        <v>34029.507912043111</v>
      </c>
      <c r="Q46" s="53">
        <v>36563.44217379266</v>
      </c>
      <c r="R46" s="53">
        <v>38433.707180215431</v>
      </c>
      <c r="S46" s="53">
        <v>40796.394292097219</v>
      </c>
      <c r="T46" s="53">
        <v>43099.649614675727</v>
      </c>
      <c r="U46" s="53">
        <f>[14]Выход!P10</f>
        <v>45893.79079107209</v>
      </c>
      <c r="V46" s="53">
        <f>[14]Выход!Q10</f>
        <v>48882.487667558111</v>
      </c>
      <c r="W46" s="53">
        <f>[14]Выход!R10</f>
        <v>51797.39721161015</v>
      </c>
      <c r="X46" s="53">
        <f>[14]Выход!S10</f>
        <v>54782.528425955032</v>
      </c>
      <c r="Y46" s="53">
        <f>[14]Выход!T10</f>
        <v>57815.687733081992</v>
      </c>
      <c r="Z46" s="53">
        <f>[14]Выход!U10</f>
        <v>60850.036393908675</v>
      </c>
    </row>
    <row r="47" spans="1:26" ht="28.5" customHeight="1">
      <c r="A47" s="115"/>
      <c r="B47" s="119" t="s">
        <v>26</v>
      </c>
      <c r="C47" s="77"/>
      <c r="D47" s="58"/>
      <c r="E47" s="58"/>
      <c r="F47" s="58"/>
      <c r="G47" s="58"/>
      <c r="H47" s="58"/>
      <c r="I47" s="59">
        <v>127.20464104097098</v>
      </c>
      <c r="J47" s="60">
        <v>107.78010373271947</v>
      </c>
      <c r="K47" s="60">
        <v>112.43332596178284</v>
      </c>
      <c r="L47" s="60">
        <v>111.53575358219958</v>
      </c>
      <c r="M47" s="60">
        <v>113.94866684592699</v>
      </c>
      <c r="N47" s="60">
        <v>111.87837474481826</v>
      </c>
      <c r="O47" s="60">
        <f>O46/N46*100</f>
        <v>109.07444497927744</v>
      </c>
      <c r="P47" s="61">
        <v>105.12096142597802</v>
      </c>
      <c r="Q47" s="61">
        <v>107.44628534828971</v>
      </c>
      <c r="R47" s="61">
        <v>105.11512290755631</v>
      </c>
      <c r="S47" s="61">
        <v>106.14743485660429</v>
      </c>
      <c r="T47" s="61">
        <v>105.64573257648084</v>
      </c>
      <c r="U47" s="61">
        <f>[14]Выход!P11</f>
        <v>106.48297886729208</v>
      </c>
      <c r="V47" s="61">
        <f>[14]Выход!Q11</f>
        <v>106.51220312153301</v>
      </c>
      <c r="W47" s="61">
        <f>[14]Выход!R11</f>
        <v>105.96309574888222</v>
      </c>
      <c r="X47" s="61">
        <f>[14]Выход!S11</f>
        <v>105.76309114944442</v>
      </c>
      <c r="Y47" s="61">
        <f>[14]Выход!T11</f>
        <v>105.53672748278974</v>
      </c>
      <c r="Z47" s="61">
        <f>[14]Выход!U11</f>
        <v>105.24831370135279</v>
      </c>
    </row>
    <row r="48" spans="1:26" ht="40.5">
      <c r="A48" s="135" t="s">
        <v>54</v>
      </c>
      <c r="B48" s="37" t="s">
        <v>26</v>
      </c>
      <c r="C48" s="78">
        <v>116.2</v>
      </c>
      <c r="D48" s="39">
        <v>110.9</v>
      </c>
      <c r="E48" s="39">
        <v>110.6</v>
      </c>
      <c r="F48" s="40">
        <v>112.62630996849245</v>
      </c>
      <c r="G48" s="39">
        <v>113.3</v>
      </c>
      <c r="H48" s="39">
        <v>117.23954180709366</v>
      </c>
      <c r="I48" s="39">
        <v>111.48522440050044</v>
      </c>
      <c r="J48" s="41">
        <v>96.468574592841577</v>
      </c>
      <c r="K48" s="41">
        <v>105.1595087017171</v>
      </c>
      <c r="L48" s="41">
        <v>102.79894235695912</v>
      </c>
      <c r="M48" s="41">
        <v>108.41928339288962</v>
      </c>
      <c r="N48" s="41">
        <v>104.845</v>
      </c>
      <c r="O48" s="41">
        <v>101.20100666104793</v>
      </c>
      <c r="P48" s="55">
        <v>91.041313979655612</v>
      </c>
      <c r="Q48" s="55">
        <v>100.33086388713448</v>
      </c>
      <c r="R48" s="55">
        <v>100.37218597482298</v>
      </c>
      <c r="S48" s="55">
        <v>102.01587439725992</v>
      </c>
      <c r="T48" s="55">
        <v>101.61429067776804</v>
      </c>
      <c r="U48" s="55">
        <f>[14]Выход!P12</f>
        <v>102.37689742220574</v>
      </c>
      <c r="V48" s="55">
        <f>[14]Выход!Q12</f>
        <v>102.47722057723469</v>
      </c>
      <c r="W48" s="55">
        <f>[14]Выход!R12</f>
        <v>102.06384154265203</v>
      </c>
      <c r="X48" s="55">
        <f>[14]Выход!S12</f>
        <v>101.96073412836286</v>
      </c>
      <c r="Y48" s="55">
        <f>[14]Выход!T12</f>
        <v>101.91733278917827</v>
      </c>
      <c r="Z48" s="55">
        <f>[14]Выход!U12</f>
        <v>101.76476212820332</v>
      </c>
    </row>
    <row r="49" spans="1:26" ht="40.5">
      <c r="A49" s="115" t="s">
        <v>60</v>
      </c>
      <c r="B49" s="18" t="s">
        <v>61</v>
      </c>
      <c r="C49" s="71"/>
      <c r="D49" s="19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54">
        <v>45.106532999999999</v>
      </c>
      <c r="Q49" s="54">
        <v>44.590562387794016</v>
      </c>
      <c r="R49" s="54">
        <v>44.396646697915578</v>
      </c>
      <c r="S49" s="54">
        <v>44.197007295078059</v>
      </c>
      <c r="T49" s="54">
        <v>43.962017529186383</v>
      </c>
      <c r="U49" s="54"/>
      <c r="V49" s="54"/>
      <c r="W49" s="54"/>
      <c r="X49" s="54"/>
      <c r="Y49" s="54"/>
      <c r="Z49" s="54"/>
    </row>
    <row r="50" spans="1:26" ht="47.25" customHeight="1">
      <c r="A50" s="135" t="s">
        <v>55</v>
      </c>
      <c r="B50" s="37" t="s">
        <v>26</v>
      </c>
      <c r="C50" s="69">
        <v>111.1</v>
      </c>
      <c r="D50" s="17">
        <v>115</v>
      </c>
      <c r="E50" s="17">
        <v>110.4</v>
      </c>
      <c r="F50" s="17">
        <v>112.4</v>
      </c>
      <c r="G50" s="17">
        <v>113.5</v>
      </c>
      <c r="H50" s="17">
        <v>112.1</v>
      </c>
      <c r="I50" s="42">
        <v>102.4</v>
      </c>
      <c r="J50" s="42">
        <v>103</v>
      </c>
      <c r="K50" s="42">
        <v>105.9</v>
      </c>
      <c r="L50" s="42">
        <v>100.50263571843072</v>
      </c>
      <c r="M50" s="42">
        <v>104.6</v>
      </c>
      <c r="N50" s="40">
        <v>103.98728917774163</v>
      </c>
      <c r="O50" s="40">
        <v>99.3</v>
      </c>
      <c r="P50" s="55">
        <v>95.7</v>
      </c>
      <c r="Q50" s="55">
        <v>94.423416456947223</v>
      </c>
      <c r="R50" s="55">
        <v>100.16331467450567</v>
      </c>
      <c r="S50" s="55">
        <v>100.4705124469766</v>
      </c>
      <c r="T50" s="55">
        <v>100.78344608247447</v>
      </c>
      <c r="U50" s="55">
        <f>[8]БДДРН!T72</f>
        <v>101.42301333370499</v>
      </c>
      <c r="V50" s="55">
        <f>[8]БДДРН!U72</f>
        <v>101.88489289873594</v>
      </c>
      <c r="W50" s="55">
        <f>[8]БДДРН!V72</f>
        <v>101.79847342596074</v>
      </c>
      <c r="X50" s="55">
        <f>[8]БДДРН!W72</f>
        <v>101.74453207337054</v>
      </c>
      <c r="Y50" s="55">
        <f>[8]БДДРН!X72</f>
        <v>101.68133327502463</v>
      </c>
      <c r="Z50" s="55">
        <f>[8]БДДРН!Y72</f>
        <v>101.57869172347046</v>
      </c>
    </row>
    <row r="51" spans="1:26" ht="20.25">
      <c r="A51" s="115"/>
      <c r="B51" s="120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115"/>
      <c r="U51" s="88"/>
      <c r="V51" s="88"/>
      <c r="W51" s="88"/>
      <c r="X51" s="88"/>
      <c r="Y51" s="88"/>
      <c r="Z51" s="115"/>
    </row>
    <row r="52" spans="1:26" ht="47.25" customHeight="1">
      <c r="A52" s="135" t="s">
        <v>56</v>
      </c>
      <c r="B52" s="121"/>
      <c r="C52" s="69"/>
      <c r="D52" s="17"/>
      <c r="E52" s="17"/>
      <c r="F52" s="17"/>
      <c r="G52" s="17"/>
      <c r="H52" s="17"/>
      <c r="I52" s="42"/>
      <c r="J52" s="42"/>
      <c r="K52" s="42"/>
      <c r="L52" s="42"/>
      <c r="M52" s="42"/>
      <c r="N52" s="40"/>
      <c r="O52" s="40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</row>
    <row r="53" spans="1:26" ht="32.25" customHeight="1">
      <c r="A53" s="115" t="s">
        <v>32</v>
      </c>
      <c r="B53" s="138" t="s">
        <v>21</v>
      </c>
      <c r="C53" s="139"/>
      <c r="D53" s="140"/>
      <c r="E53" s="140"/>
      <c r="F53" s="140"/>
      <c r="G53" s="140"/>
      <c r="H53" s="140"/>
      <c r="I53" s="141"/>
      <c r="J53" s="141"/>
      <c r="K53" s="141"/>
      <c r="L53" s="141"/>
      <c r="M53" s="141">
        <v>9281.5740867216591</v>
      </c>
      <c r="N53" s="142">
        <v>10201.412636201192</v>
      </c>
      <c r="O53" s="142">
        <f>'[15]Пенсии, ПМ, УБ'!D16</f>
        <v>11058.765514313083</v>
      </c>
      <c r="P53" s="117">
        <v>12299.726328671033</v>
      </c>
      <c r="Q53" s="117">
        <v>12655.864841382676</v>
      </c>
      <c r="R53" s="117">
        <v>13191.857358255462</v>
      </c>
      <c r="S53" s="117">
        <v>13605.904908178898</v>
      </c>
      <c r="T53" s="117">
        <v>14016.996036448598</v>
      </c>
      <c r="U53" s="113" t="e">
        <f>#REF!</f>
        <v>#REF!</v>
      </c>
      <c r="V53" s="113" t="e">
        <f>#REF!</f>
        <v>#REF!</v>
      </c>
      <c r="W53" s="113" t="e">
        <f>#REF!</f>
        <v>#REF!</v>
      </c>
      <c r="X53" s="113" t="e">
        <f>#REF!</f>
        <v>#REF!</v>
      </c>
      <c r="Y53" s="113" t="e">
        <f>#REF!</f>
        <v>#REF!</v>
      </c>
      <c r="Z53" s="113" t="e">
        <f>#REF!</f>
        <v>#REF!</v>
      </c>
    </row>
    <row r="54" spans="1:26" ht="32.25" customHeight="1">
      <c r="A54" s="115" t="s">
        <v>45</v>
      </c>
      <c r="B54" s="143" t="s">
        <v>26</v>
      </c>
      <c r="C54" s="139"/>
      <c r="D54" s="140"/>
      <c r="E54" s="140"/>
      <c r="F54" s="140"/>
      <c r="G54" s="140"/>
      <c r="H54" s="140"/>
      <c r="I54" s="141"/>
      <c r="J54" s="141"/>
      <c r="K54" s="141"/>
      <c r="L54" s="141"/>
      <c r="M54" s="141">
        <v>104.63078311978802</v>
      </c>
      <c r="N54" s="142">
        <v>102.91233363627552</v>
      </c>
      <c r="O54" s="142">
        <v>100.56053472791868</v>
      </c>
      <c r="P54" s="104">
        <v>96.295682286546395</v>
      </c>
      <c r="Q54" s="104">
        <v>96.074229212600997</v>
      </c>
      <c r="R54" s="104">
        <v>99.555999510203918</v>
      </c>
      <c r="S54" s="104">
        <v>99.171788459809662</v>
      </c>
      <c r="T54" s="104">
        <v>99.059054838576429</v>
      </c>
      <c r="U54" s="110" t="e">
        <f>#REF!</f>
        <v>#REF!</v>
      </c>
      <c r="V54" s="110" t="e">
        <f>#REF!</f>
        <v>#REF!</v>
      </c>
      <c r="W54" s="110" t="e">
        <f>#REF!</f>
        <v>#REF!</v>
      </c>
      <c r="X54" s="110" t="e">
        <f>#REF!</f>
        <v>#REF!</v>
      </c>
      <c r="Y54" s="110" t="e">
        <f>#REF!</f>
        <v>#REF!</v>
      </c>
      <c r="Z54" s="110" t="e">
        <f>#REF!</f>
        <v>#REF!</v>
      </c>
    </row>
    <row r="55" spans="1:26" ht="32.25" customHeight="1">
      <c r="A55" s="115"/>
      <c r="B55" s="123"/>
      <c r="C55" s="69"/>
      <c r="D55" s="17"/>
      <c r="E55" s="17"/>
      <c r="F55" s="17"/>
      <c r="G55" s="17"/>
      <c r="H55" s="17"/>
      <c r="I55" s="42"/>
      <c r="J55" s="42"/>
      <c r="K55" s="42"/>
      <c r="L55" s="42"/>
      <c r="M55" s="42"/>
      <c r="N55" s="40"/>
      <c r="O55" s="40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</row>
    <row r="56" spans="1:26" ht="50.25" customHeight="1">
      <c r="A56" s="136" t="s">
        <v>46</v>
      </c>
      <c r="B56" s="124" t="s">
        <v>21</v>
      </c>
      <c r="C56" s="69"/>
      <c r="D56" s="17"/>
      <c r="E56" s="17"/>
      <c r="F56" s="17"/>
      <c r="G56" s="17"/>
      <c r="H56" s="17"/>
      <c r="I56" s="42"/>
      <c r="J56" s="42"/>
      <c r="K56" s="42"/>
      <c r="L56" s="42"/>
      <c r="M56" s="42"/>
      <c r="N56" s="40"/>
      <c r="O56" s="40">
        <v>8050</v>
      </c>
      <c r="P56" s="53">
        <v>9701</v>
      </c>
      <c r="Q56" s="53">
        <v>9961.9458400000003</v>
      </c>
      <c r="R56" s="53">
        <v>10415</v>
      </c>
      <c r="S56" s="53">
        <v>11419.1</v>
      </c>
      <c r="T56" s="53">
        <v>11866</v>
      </c>
      <c r="U56" s="53">
        <f>'[16]Аналитический Выход'!P13</f>
        <v>12833.6</v>
      </c>
      <c r="V56" s="53">
        <f>'[16]Аналитический Выход'!Q13</f>
        <v>13327.693599999999</v>
      </c>
      <c r="W56" s="53">
        <f>'[16]Аналитический Выход'!R13</f>
        <v>13820.818263199997</v>
      </c>
      <c r="X56" s="53">
        <f>'[16]Аналитический Выход'!S13</f>
        <v>14864.290042071598</v>
      </c>
      <c r="Y56" s="53">
        <f>'[16]Аналитический Выход'!T13</f>
        <v>15369.675903502031</v>
      </c>
      <c r="Z56" s="53">
        <f>'[16]Аналитический Выход'!U13</f>
        <v>15869.190370365846</v>
      </c>
    </row>
    <row r="57" spans="1:26" ht="32.25" customHeight="1">
      <c r="A57" s="132"/>
      <c r="B57" s="122"/>
      <c r="C57" s="69"/>
      <c r="D57" s="17"/>
      <c r="E57" s="17"/>
      <c r="F57" s="17"/>
      <c r="G57" s="17"/>
      <c r="H57" s="17"/>
      <c r="I57" s="42"/>
      <c r="J57" s="42"/>
      <c r="K57" s="42"/>
      <c r="L57" s="42"/>
      <c r="M57" s="42"/>
      <c r="N57" s="40"/>
      <c r="O57" s="4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</row>
    <row r="58" spans="1:26" ht="32.25" customHeight="1">
      <c r="A58" s="132" t="s">
        <v>47</v>
      </c>
      <c r="B58" s="122" t="s">
        <v>21</v>
      </c>
      <c r="C58" s="69"/>
      <c r="D58" s="17"/>
      <c r="E58" s="17"/>
      <c r="F58" s="17"/>
      <c r="G58" s="17"/>
      <c r="H58" s="17"/>
      <c r="I58" s="42"/>
      <c r="J58" s="42"/>
      <c r="K58" s="42"/>
      <c r="L58" s="42"/>
      <c r="M58" s="42"/>
      <c r="N58" s="40"/>
      <c r="O58" s="40"/>
      <c r="P58" s="109">
        <v>10454.75</v>
      </c>
      <c r="Q58" s="109">
        <v>10729</v>
      </c>
      <c r="R58" s="109">
        <v>11219</v>
      </c>
      <c r="S58" s="109">
        <v>12302</v>
      </c>
      <c r="T58" s="109">
        <v>12783</v>
      </c>
      <c r="U58" s="109">
        <f>'[16]Аналитический Выход'!P15</f>
        <v>13853.84</v>
      </c>
      <c r="V58" s="109">
        <f>'[16]Аналитический Выход'!Q15</f>
        <v>14387.21284</v>
      </c>
      <c r="W58" s="109">
        <f>'[16]Аналитический Выход'!R15</f>
        <v>14919.539715079998</v>
      </c>
      <c r="X58" s="109">
        <f>'[16]Аналитический Выход'!S15</f>
        <v>16045.96496356854</v>
      </c>
      <c r="Y58" s="109">
        <f>'[16]Аналитический Выход'!T15</f>
        <v>16591.527772329871</v>
      </c>
      <c r="Z58" s="109">
        <f>'[16]Аналитический Выход'!U15</f>
        <v>17130.752424930593</v>
      </c>
    </row>
    <row r="59" spans="1:26" ht="32.25" customHeight="1">
      <c r="A59" s="132" t="s">
        <v>48</v>
      </c>
      <c r="B59" s="122" t="s">
        <v>21</v>
      </c>
      <c r="C59" s="69"/>
      <c r="D59" s="17"/>
      <c r="E59" s="17"/>
      <c r="F59" s="17"/>
      <c r="G59" s="17"/>
      <c r="H59" s="17"/>
      <c r="I59" s="42"/>
      <c r="J59" s="42"/>
      <c r="K59" s="42"/>
      <c r="L59" s="42"/>
      <c r="M59" s="42"/>
      <c r="N59" s="40"/>
      <c r="O59" s="40"/>
      <c r="P59" s="109">
        <v>7964.5</v>
      </c>
      <c r="Q59" s="109">
        <v>8171.25</v>
      </c>
      <c r="R59" s="109">
        <v>8540</v>
      </c>
      <c r="S59" s="109">
        <v>9364.0499999999993</v>
      </c>
      <c r="T59" s="109">
        <v>9729</v>
      </c>
      <c r="U59" s="109" t="e">
        <f>[17]Выход!P6</f>
        <v>#REF!</v>
      </c>
      <c r="V59" s="109" t="e">
        <f>[17]Выход!Q6</f>
        <v>#REF!</v>
      </c>
      <c r="W59" s="109" t="e">
        <f>[17]Выход!R6</f>
        <v>#REF!</v>
      </c>
      <c r="X59" s="109" t="e">
        <f>[17]Выход!S6</f>
        <v>#REF!</v>
      </c>
      <c r="Y59" s="109" t="e">
        <f>[17]Выход!T6</f>
        <v>#REF!</v>
      </c>
      <c r="Z59" s="109" t="e">
        <f>[17]Выход!U6</f>
        <v>#REF!</v>
      </c>
    </row>
    <row r="60" spans="1:26" ht="32.25" customHeight="1">
      <c r="A60" s="132" t="s">
        <v>49</v>
      </c>
      <c r="B60" s="122" t="s">
        <v>21</v>
      </c>
      <c r="C60" s="69"/>
      <c r="D60" s="17"/>
      <c r="E60" s="17"/>
      <c r="F60" s="17"/>
      <c r="G60" s="17"/>
      <c r="H60" s="17"/>
      <c r="I60" s="42"/>
      <c r="J60" s="42"/>
      <c r="K60" s="42"/>
      <c r="L60" s="42"/>
      <c r="M60" s="42"/>
      <c r="N60" s="40"/>
      <c r="O60" s="40"/>
      <c r="P60" s="109">
        <v>9472</v>
      </c>
      <c r="Q60" s="109">
        <v>9857</v>
      </c>
      <c r="R60" s="109">
        <v>10304</v>
      </c>
      <c r="S60" s="109">
        <v>11297.1</v>
      </c>
      <c r="T60" s="109">
        <v>11738</v>
      </c>
      <c r="U60" s="109">
        <f>'[16]Аналитический Выход'!P17</f>
        <v>12544.48</v>
      </c>
      <c r="V60" s="109">
        <f>'[16]Аналитический Выход'!Q17</f>
        <v>13027.44248</v>
      </c>
      <c r="W60" s="109">
        <f>'[16]Аналитический Выход'!R17</f>
        <v>13509.457851759998</v>
      </c>
      <c r="X60" s="109">
        <f>'[16]Аналитический Выход'!S17</f>
        <v>14529.421919567882</v>
      </c>
      <c r="Y60" s="109">
        <f>'[16]Аналитический Выход'!T17</f>
        <v>15023.422264833189</v>
      </c>
      <c r="Z60" s="109">
        <f>'[16]Аналитический Выход'!U17</f>
        <v>15511.683488440267</v>
      </c>
    </row>
    <row r="61" spans="1:26" ht="62.25" customHeight="1">
      <c r="A61" s="136" t="s">
        <v>50</v>
      </c>
      <c r="B61" s="124" t="s">
        <v>17</v>
      </c>
      <c r="C61" s="72"/>
      <c r="D61" s="19"/>
      <c r="E61" s="19"/>
      <c r="F61" s="22"/>
      <c r="G61" s="19"/>
      <c r="H61" s="19"/>
      <c r="I61" s="19"/>
      <c r="J61" s="20"/>
      <c r="K61" s="20"/>
      <c r="L61" s="20"/>
      <c r="M61" s="20"/>
      <c r="N61" s="20"/>
      <c r="O61" s="20"/>
      <c r="P61" s="110">
        <v>13.277584703445713</v>
      </c>
      <c r="Q61" s="110">
        <v>13.900285782039074</v>
      </c>
      <c r="R61" s="110">
        <v>13.902951981023964</v>
      </c>
      <c r="S61" s="110">
        <v>14.096655161162419</v>
      </c>
      <c r="T61" s="110">
        <v>13.935815564134598</v>
      </c>
      <c r="U61" s="110">
        <f>'[18]Пенсии, ПМ, УБ'!J81*100</f>
        <v>13.39988068442107</v>
      </c>
      <c r="V61" s="110">
        <f>'[18]Пенсии, ПМ, УБ'!K81*100</f>
        <v>13.389876574722367</v>
      </c>
      <c r="W61" s="110">
        <f>'[18]Пенсии, ПМ, УБ'!L81*100</f>
        <v>13.116963600009862</v>
      </c>
      <c r="X61" s="110">
        <f>'[18]Пенсии, ПМ, УБ'!M81*100</f>
        <v>13.280281267668181</v>
      </c>
      <c r="Y61" s="110">
        <f>'[18]Пенсии, ПМ, УБ'!N81*100</f>
        <v>13.055125078714541</v>
      </c>
      <c r="Z61" s="110">
        <f>'[18]Пенсии, ПМ, УБ'!O81*100</f>
        <v>12.931751764036189</v>
      </c>
    </row>
    <row r="62" spans="1:26" ht="32.25" customHeight="1">
      <c r="A62" s="54"/>
      <c r="B62" s="20"/>
      <c r="C62" s="72"/>
      <c r="D62" s="19"/>
      <c r="E62" s="19"/>
      <c r="F62" s="22"/>
      <c r="G62" s="19"/>
      <c r="H62" s="19"/>
      <c r="I62" s="19"/>
      <c r="J62" s="20"/>
      <c r="K62" s="20"/>
      <c r="L62" s="20"/>
      <c r="M62" s="20"/>
      <c r="N62" s="20"/>
      <c r="O62" s="20"/>
      <c r="P62" s="54"/>
      <c r="Q62" s="20"/>
      <c r="R62" s="54"/>
      <c r="S62" s="54"/>
      <c r="T62" s="54"/>
      <c r="U62" s="54"/>
      <c r="V62" s="54"/>
      <c r="W62" s="54"/>
      <c r="X62" s="54"/>
      <c r="Y62" s="54"/>
      <c r="Z62" s="54"/>
    </row>
    <row r="63" spans="1:26" ht="32.25" customHeight="1">
      <c r="A63" s="16" t="s">
        <v>33</v>
      </c>
      <c r="B63" s="37"/>
      <c r="C63" s="69"/>
      <c r="D63" s="17"/>
      <c r="E63" s="17"/>
      <c r="F63" s="17"/>
      <c r="G63" s="17"/>
      <c r="H63" s="17"/>
      <c r="I63" s="42"/>
      <c r="J63" s="42"/>
      <c r="K63" s="42"/>
      <c r="L63" s="42"/>
      <c r="M63" s="42"/>
      <c r="N63" s="42"/>
      <c r="O63" s="42"/>
      <c r="P63" s="52"/>
      <c r="Q63" s="42"/>
      <c r="R63" s="52"/>
      <c r="S63" s="52"/>
      <c r="T63" s="52"/>
      <c r="U63" s="52"/>
      <c r="V63" s="52"/>
      <c r="W63" s="52"/>
      <c r="X63" s="52"/>
      <c r="Y63" s="52"/>
      <c r="Z63" s="52"/>
    </row>
    <row r="64" spans="1:26" ht="32.25" customHeight="1">
      <c r="A64" s="115" t="s">
        <v>32</v>
      </c>
      <c r="B64" s="125" t="s">
        <v>18</v>
      </c>
      <c r="C64" s="71">
        <v>107.30200000000001</v>
      </c>
      <c r="D64" s="19">
        <v>135.93</v>
      </c>
      <c r="E64" s="20">
        <v>183.20699999999999</v>
      </c>
      <c r="F64" s="19">
        <v>240.024</v>
      </c>
      <c r="G64" s="19">
        <v>297.48099999999999</v>
      </c>
      <c r="H64" s="19">
        <v>346.53</v>
      </c>
      <c r="I64" s="19">
        <v>466.298</v>
      </c>
      <c r="J64" s="19">
        <v>297.15499999999997</v>
      </c>
      <c r="K64" s="19">
        <v>392.67399999999998</v>
      </c>
      <c r="L64" s="19">
        <v>515.40900000000011</v>
      </c>
      <c r="M64" s="19">
        <v>527.43400000000008</v>
      </c>
      <c r="N64" s="19">
        <f>'[19]print exp'!J$3</f>
        <v>523.27500003231</v>
      </c>
      <c r="O64" s="19">
        <f>'[19]print exp'!K$3</f>
        <v>497.76299999999998</v>
      </c>
      <c r="P64" s="49">
        <v>341.49599999999998</v>
      </c>
      <c r="Q64" s="49">
        <v>278.98638126955962</v>
      </c>
      <c r="R64" s="49">
        <v>283.71011997028199</v>
      </c>
      <c r="S64" s="49">
        <v>289.72738816098922</v>
      </c>
      <c r="T64" s="49">
        <v>297.3152923417357</v>
      </c>
      <c r="U64" s="49">
        <f>[4]Свод!J93</f>
        <v>0</v>
      </c>
      <c r="V64" s="49">
        <f>[4]Свод!K93</f>
        <v>0</v>
      </c>
      <c r="W64" s="49">
        <f>[4]Свод!L93</f>
        <v>0</v>
      </c>
      <c r="X64" s="49">
        <f>[4]Свод!M93</f>
        <v>0</v>
      </c>
      <c r="Y64" s="49">
        <f>[4]Свод!N93</f>
        <v>0</v>
      </c>
      <c r="Z64" s="49">
        <f>[4]Свод!O93</f>
        <v>0</v>
      </c>
    </row>
    <row r="65" spans="1:26" ht="32.25" customHeight="1">
      <c r="A65" s="115" t="s">
        <v>35</v>
      </c>
      <c r="B65" s="18" t="s">
        <v>26</v>
      </c>
      <c r="C65" s="71"/>
      <c r="D65" s="19"/>
      <c r="E65" s="20"/>
      <c r="F65" s="19"/>
      <c r="G65" s="19"/>
      <c r="H65" s="19"/>
      <c r="I65" s="19">
        <f t="shared" ref="I65:N65" si="14">I64/H64*100</f>
        <v>134.56208697659656</v>
      </c>
      <c r="J65" s="19">
        <f t="shared" si="14"/>
        <v>63.72641529665578</v>
      </c>
      <c r="K65" s="19">
        <f t="shared" si="14"/>
        <v>132.14450371018495</v>
      </c>
      <c r="L65" s="19">
        <f t="shared" si="14"/>
        <v>131.25620743924992</v>
      </c>
      <c r="M65" s="19">
        <f t="shared" si="14"/>
        <v>102.33309856832147</v>
      </c>
      <c r="N65" s="19">
        <f t="shared" si="14"/>
        <v>99.211465326905341</v>
      </c>
      <c r="O65" s="19">
        <v>95.2</v>
      </c>
      <c r="P65" s="49">
        <v>68.706143887753811</v>
      </c>
      <c r="Q65" s="49">
        <v>81.695358443308166</v>
      </c>
      <c r="R65" s="49">
        <v>101.69317895706106</v>
      </c>
      <c r="S65" s="49">
        <v>102.12092123867049</v>
      </c>
      <c r="T65" s="49">
        <v>102.61898063172758</v>
      </c>
      <c r="U65" s="49">
        <f t="shared" ref="U65:Z65" si="15">U64/T64*100</f>
        <v>0</v>
      </c>
      <c r="V65" s="49" t="e">
        <f t="shared" si="15"/>
        <v>#DIV/0!</v>
      </c>
      <c r="W65" s="49" t="e">
        <f t="shared" si="15"/>
        <v>#DIV/0!</v>
      </c>
      <c r="X65" s="49" t="e">
        <f t="shared" si="15"/>
        <v>#DIV/0!</v>
      </c>
      <c r="Y65" s="49" t="e">
        <f t="shared" si="15"/>
        <v>#DIV/0!</v>
      </c>
      <c r="Z65" s="49" t="e">
        <f t="shared" si="15"/>
        <v>#DIV/0!</v>
      </c>
    </row>
    <row r="66" spans="1:26" ht="32.25" customHeight="1">
      <c r="A66" s="115" t="s">
        <v>34</v>
      </c>
      <c r="B66" s="18" t="s">
        <v>26</v>
      </c>
      <c r="C66" s="71"/>
      <c r="D66" s="19"/>
      <c r="E66" s="20"/>
      <c r="F66" s="19"/>
      <c r="G66" s="19"/>
      <c r="H66" s="19"/>
      <c r="I66" s="19">
        <f>'[20]print exp'!H$7</f>
        <v>97.493555230485555</v>
      </c>
      <c r="J66" s="19">
        <f>'[20]print exp'!I$7</f>
        <v>96.687280948757603</v>
      </c>
      <c r="K66" s="19">
        <f>'[20]print exp'!J$7</f>
        <v>107</v>
      </c>
      <c r="L66" s="19">
        <f>'[20]print exp'!K$7</f>
        <v>98.201174597894564</v>
      </c>
      <c r="M66" s="19">
        <f>'[20]print exp'!L$7</f>
        <v>100.29999999999998</v>
      </c>
      <c r="N66" s="19">
        <f>'[20]print exp'!M$7</f>
        <v>103.41924433486392</v>
      </c>
      <c r="O66" s="19">
        <f>'[19]print exp'!K$7</f>
        <v>99.9</v>
      </c>
      <c r="P66" s="49">
        <v>106.2</v>
      </c>
      <c r="Q66" s="49">
        <v>100.43130627822934</v>
      </c>
      <c r="R66" s="49">
        <v>101.06029231421935</v>
      </c>
      <c r="S66" s="49">
        <v>101.55185516800643</v>
      </c>
      <c r="T66" s="49">
        <v>101.02473624048838</v>
      </c>
      <c r="U66" s="49">
        <f>[4]Свод!J69*100</f>
        <v>59330.637155171644</v>
      </c>
      <c r="V66" s="49" t="e">
        <f>[4]Свод!K69*100</f>
        <v>#REF!</v>
      </c>
      <c r="W66" s="49" t="e">
        <f>[4]Свод!L69*100</f>
        <v>#REF!</v>
      </c>
      <c r="X66" s="49" t="e">
        <f>[4]Свод!M69*100</f>
        <v>#REF!</v>
      </c>
      <c r="Y66" s="49" t="e">
        <f>[4]Свод!N69*100</f>
        <v>#REF!</v>
      </c>
      <c r="Z66" s="49" t="e">
        <f>[4]Свод!O69*100</f>
        <v>#REF!</v>
      </c>
    </row>
    <row r="67" spans="1:26" ht="32.25" customHeight="1">
      <c r="A67" s="16" t="s">
        <v>36</v>
      </c>
      <c r="B67" s="37"/>
      <c r="C67" s="69"/>
      <c r="D67" s="17"/>
      <c r="E67" s="17"/>
      <c r="F67" s="17"/>
      <c r="G67" s="17"/>
      <c r="H67" s="17"/>
      <c r="I67" s="40"/>
      <c r="J67" s="40"/>
      <c r="K67" s="40"/>
      <c r="L67" s="40"/>
      <c r="M67" s="40"/>
      <c r="N67" s="40"/>
      <c r="O67" s="40"/>
      <c r="P67" s="52"/>
      <c r="Q67" s="42"/>
      <c r="R67" s="52"/>
      <c r="S67" s="52"/>
      <c r="T67" s="52"/>
      <c r="U67" s="52"/>
      <c r="V67" s="52"/>
      <c r="W67" s="52"/>
      <c r="X67" s="52"/>
      <c r="Y67" s="52"/>
      <c r="Z67" s="52"/>
    </row>
    <row r="68" spans="1:26" ht="32.25" customHeight="1">
      <c r="A68" s="115" t="s">
        <v>32</v>
      </c>
      <c r="B68" s="125" t="s">
        <v>18</v>
      </c>
      <c r="C68" s="71">
        <v>60.965999999999994</v>
      </c>
      <c r="D68" s="19">
        <v>76.069000000000003</v>
      </c>
      <c r="E68" s="20">
        <v>97.382000000000005</v>
      </c>
      <c r="F68" s="19">
        <v>123.839</v>
      </c>
      <c r="G68" s="19">
        <v>163.18700000000001</v>
      </c>
      <c r="H68" s="19">
        <v>223.084</v>
      </c>
      <c r="I68" s="19">
        <v>288.673</v>
      </c>
      <c r="J68" s="19">
        <v>183.92400000000001</v>
      </c>
      <c r="K68" s="19">
        <v>245.68</v>
      </c>
      <c r="L68" s="19">
        <v>318.55552265309751</v>
      </c>
      <c r="M68" s="19">
        <v>335.77104468709814</v>
      </c>
      <c r="N68" s="19">
        <v>341.33699995213016</v>
      </c>
      <c r="O68" s="19">
        <f>'[19]print imp'!N$4</f>
        <v>308.02600000000001</v>
      </c>
      <c r="P68" s="49">
        <v>192.95400000000001</v>
      </c>
      <c r="Q68" s="49">
        <v>186.70155726866966</v>
      </c>
      <c r="R68" s="49">
        <v>193.69814953588312</v>
      </c>
      <c r="S68" s="49">
        <v>200.20489474486163</v>
      </c>
      <c r="T68" s="49">
        <v>206.89519951717608</v>
      </c>
      <c r="U68" s="49">
        <f>[4]Свод!J177</f>
        <v>1.0209513371944154</v>
      </c>
      <c r="V68" s="49">
        <f>[4]Свод!K177</f>
        <v>1.038437816514429</v>
      </c>
      <c r="W68" s="49" t="e">
        <f>[4]Свод!L177</f>
        <v>#VALUE!</v>
      </c>
      <c r="X68" s="49" t="e">
        <f>[4]Свод!M177</f>
        <v>#VALUE!</v>
      </c>
      <c r="Y68" s="49" t="e">
        <f>[4]Свод!N177</f>
        <v>#VALUE!</v>
      </c>
      <c r="Z68" s="49" t="e">
        <f>[4]Свод!O177</f>
        <v>#VALUE!</v>
      </c>
    </row>
    <row r="69" spans="1:26" ht="32.25" customHeight="1">
      <c r="A69" s="115" t="s">
        <v>35</v>
      </c>
      <c r="B69" s="18" t="s">
        <v>26</v>
      </c>
      <c r="C69" s="68"/>
      <c r="D69" s="29"/>
      <c r="E69" s="29"/>
      <c r="F69" s="29"/>
      <c r="G69" s="29"/>
      <c r="H69" s="19"/>
      <c r="I69" s="19">
        <f t="shared" ref="I69:O69" si="16">I68/H68*100</f>
        <v>129.4010327948217</v>
      </c>
      <c r="J69" s="19">
        <f t="shared" si="16"/>
        <v>63.713613673603007</v>
      </c>
      <c r="K69" s="19">
        <f t="shared" si="16"/>
        <v>133.5769122028664</v>
      </c>
      <c r="L69" s="19">
        <f t="shared" si="16"/>
        <v>129.66278193304197</v>
      </c>
      <c r="M69" s="19">
        <f t="shared" si="16"/>
        <v>105.40424535434852</v>
      </c>
      <c r="N69" s="19">
        <f t="shared" si="16"/>
        <v>101.65766386146218</v>
      </c>
      <c r="O69" s="19">
        <f t="shared" si="16"/>
        <v>90.241022814168474</v>
      </c>
      <c r="P69" s="49">
        <v>62.742114626687361</v>
      </c>
      <c r="Q69" s="49">
        <v>96.759620048648713</v>
      </c>
      <c r="R69" s="49">
        <v>103.74747397374149</v>
      </c>
      <c r="S69" s="49">
        <v>103.35921908627894</v>
      </c>
      <c r="T69" s="49">
        <v>103.34172887273334</v>
      </c>
      <c r="U69" s="49">
        <f t="shared" ref="U69:Z69" si="17">U68/T68*100</f>
        <v>0.49346303808738584</v>
      </c>
      <c r="V69" s="49">
        <f t="shared" si="17"/>
        <v>101.71276325158323</v>
      </c>
      <c r="W69" s="49" t="e">
        <f t="shared" si="17"/>
        <v>#VALUE!</v>
      </c>
      <c r="X69" s="49" t="e">
        <f t="shared" si="17"/>
        <v>#VALUE!</v>
      </c>
      <c r="Y69" s="49" t="e">
        <f t="shared" si="17"/>
        <v>#VALUE!</v>
      </c>
      <c r="Z69" s="49" t="e">
        <f t="shared" si="17"/>
        <v>#VALUE!</v>
      </c>
    </row>
    <row r="70" spans="1:26" ht="32.25" customHeight="1">
      <c r="A70" s="115" t="s">
        <v>34</v>
      </c>
      <c r="B70" s="18" t="s">
        <v>26</v>
      </c>
      <c r="C70" s="68"/>
      <c r="D70" s="29"/>
      <c r="E70" s="29"/>
      <c r="F70" s="29"/>
      <c r="G70" s="29"/>
      <c r="H70" s="19"/>
      <c r="I70" s="19">
        <f>[20]printфиз!F$9</f>
        <v>111.00606557162803</v>
      </c>
      <c r="J70" s="19">
        <f>[20]printфиз!G$9</f>
        <v>66.178280941913926</v>
      </c>
      <c r="K70" s="19">
        <f>[20]printфиз!H$9</f>
        <v>127.49999261763713</v>
      </c>
      <c r="L70" s="19">
        <f>[20]printфиз!I$9</f>
        <v>119.70019563487648</v>
      </c>
      <c r="M70" s="19">
        <f>[20]printфиз!J$9</f>
        <v>105.7998407641718</v>
      </c>
      <c r="N70" s="19">
        <f>[20]printфиз!K$9</f>
        <v>99.21666318074395</v>
      </c>
      <c r="O70" s="19">
        <f>'[19]print imp'!N$8</f>
        <v>92.1</v>
      </c>
      <c r="P70" s="49">
        <v>74.099999999999994</v>
      </c>
      <c r="Q70" s="49">
        <v>99.500827098092714</v>
      </c>
      <c r="R70" s="49">
        <v>103.2082850943236</v>
      </c>
      <c r="S70" s="49">
        <v>102.10180907480799</v>
      </c>
      <c r="T70" s="49">
        <v>102.09513371944155</v>
      </c>
      <c r="U70" s="49">
        <f>[4]Свод!J167*100</f>
        <v>3649.1144032299453</v>
      </c>
      <c r="V70" s="49">
        <f>[4]Свод!K167*100</f>
        <v>3628.6394633780587</v>
      </c>
      <c r="W70" s="49" t="e">
        <f>[4]Свод!L167*100</f>
        <v>#VALUE!</v>
      </c>
      <c r="X70" s="49" t="e">
        <f>[4]Свод!M167*100</f>
        <v>#VALUE!</v>
      </c>
      <c r="Y70" s="49" t="e">
        <f>[4]Свод!N167*100</f>
        <v>#VALUE!</v>
      </c>
      <c r="Z70" s="49" t="e">
        <f>[4]Свод!O167*100</f>
        <v>#VALUE!</v>
      </c>
    </row>
    <row r="71" spans="1:26" ht="32.25" customHeight="1">
      <c r="A71" s="16" t="s">
        <v>22</v>
      </c>
      <c r="B71" s="17"/>
      <c r="C71" s="69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6"/>
      <c r="Q71" s="17"/>
      <c r="R71" s="16"/>
      <c r="S71" s="16"/>
      <c r="T71" s="16"/>
      <c r="U71" s="52"/>
      <c r="V71" s="52"/>
      <c r="W71" s="52"/>
      <c r="X71" s="52"/>
      <c r="Y71" s="52"/>
      <c r="Z71" s="52"/>
    </row>
    <row r="72" spans="1:26" ht="32.25" customHeight="1">
      <c r="A72" s="115" t="s">
        <v>32</v>
      </c>
      <c r="B72" s="125" t="s">
        <v>18</v>
      </c>
      <c r="C72" s="76"/>
      <c r="D72" s="20"/>
      <c r="E72" s="20"/>
      <c r="F72" s="20"/>
      <c r="G72" s="20"/>
      <c r="H72" s="20"/>
      <c r="I72" s="20">
        <f t="shared" ref="I72:O72" si="18">I64-I68</f>
        <v>177.625</v>
      </c>
      <c r="J72" s="20">
        <f t="shared" si="18"/>
        <v>113.23099999999997</v>
      </c>
      <c r="K72" s="20">
        <f t="shared" si="18"/>
        <v>146.99399999999997</v>
      </c>
      <c r="L72" s="20">
        <f t="shared" si="18"/>
        <v>196.85347734690259</v>
      </c>
      <c r="M72" s="20">
        <f t="shared" si="18"/>
        <v>191.66295531290194</v>
      </c>
      <c r="N72" s="20">
        <f t="shared" si="18"/>
        <v>181.93800008017985</v>
      </c>
      <c r="O72" s="20">
        <f t="shared" si="18"/>
        <v>189.73699999999997</v>
      </c>
      <c r="P72" s="54">
        <v>148.54199999999997</v>
      </c>
      <c r="Q72" s="20">
        <v>92.284824000889955</v>
      </c>
      <c r="R72" s="54">
        <v>90.011970434398876</v>
      </c>
      <c r="S72" s="54">
        <v>89.522493416127588</v>
      </c>
      <c r="T72" s="54">
        <v>90.420092824559617</v>
      </c>
      <c r="U72" s="54">
        <f t="shared" ref="U72:Z72" si="19">U64-U68</f>
        <v>-1.0209513371944154</v>
      </c>
      <c r="V72" s="54">
        <f t="shared" si="19"/>
        <v>-1.038437816514429</v>
      </c>
      <c r="W72" s="54" t="e">
        <f t="shared" si="19"/>
        <v>#VALUE!</v>
      </c>
      <c r="X72" s="54" t="e">
        <f t="shared" si="19"/>
        <v>#VALUE!</v>
      </c>
      <c r="Y72" s="54" t="e">
        <f t="shared" si="19"/>
        <v>#VALUE!</v>
      </c>
      <c r="Z72" s="54" t="e">
        <f t="shared" si="19"/>
        <v>#VALUE!</v>
      </c>
    </row>
    <row r="73" spans="1:26" ht="32.25" customHeight="1" thickBot="1">
      <c r="A73" s="137" t="s">
        <v>37</v>
      </c>
      <c r="B73" s="126" t="s">
        <v>17</v>
      </c>
      <c r="C73" s="89"/>
      <c r="D73" s="90"/>
      <c r="E73" s="90"/>
      <c r="F73" s="90"/>
      <c r="G73" s="90"/>
      <c r="H73" s="90"/>
      <c r="I73" s="90">
        <v>10.713608440830312</v>
      </c>
      <c r="J73" s="90">
        <v>7.263287866757862</v>
      </c>
      <c r="K73" s="90">
        <v>7.9041574300336617</v>
      </c>
      <c r="L73" s="90">
        <v>8.7601446066289643</v>
      </c>
      <c r="M73" s="90">
        <f>M72*31.1/M11*100</f>
        <v>8.9063159639086962</v>
      </c>
      <c r="N73" s="90">
        <f>N72*31.8/N11*100</f>
        <v>8.1468528732015759</v>
      </c>
      <c r="O73" s="90">
        <f>O72*38.4/O11*100</f>
        <v>9.3474810655603768</v>
      </c>
      <c r="P73" s="91">
        <v>11.21358746528845</v>
      </c>
      <c r="Q73" s="90">
        <v>7.7090264178260037</v>
      </c>
      <c r="R73" s="91">
        <v>6.9992949845885359</v>
      </c>
      <c r="S73" s="91">
        <v>6.6635556228741937</v>
      </c>
      <c r="T73" s="91">
        <v>6.5030028321122675</v>
      </c>
      <c r="U73" s="91">
        <f>U72*62.4/U11*100</f>
        <v>-6.0930402059113001E-2</v>
      </c>
      <c r="V73" s="91">
        <f>V72*62.1/V11*100</f>
        <v>-5.8567643034080005E-2</v>
      </c>
      <c r="W73" s="91" t="e">
        <f>W72*62.4/W11*100</f>
        <v>#VALUE!</v>
      </c>
      <c r="X73" s="91" t="e">
        <f>X72*62.8/X11*100</f>
        <v>#VALUE!</v>
      </c>
      <c r="Y73" s="91" t="e">
        <f>Y72*63.2/Y11*100</f>
        <v>#VALUE!</v>
      </c>
      <c r="Z73" s="91" t="e">
        <f>Z72*63.7/Z11*100</f>
        <v>#VALUE!</v>
      </c>
    </row>
    <row r="74" spans="1:26" ht="32.25" customHeight="1">
      <c r="A74" s="97" t="s">
        <v>23</v>
      </c>
      <c r="B74" s="127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7"/>
      <c r="Q74" s="96"/>
      <c r="R74" s="97"/>
      <c r="S74" s="97"/>
      <c r="T74" s="97"/>
      <c r="U74" s="97"/>
      <c r="V74" s="97"/>
      <c r="W74" s="97"/>
      <c r="X74" s="97"/>
      <c r="Y74" s="97"/>
      <c r="Z74" s="97"/>
    </row>
    <row r="75" spans="1:26" ht="32.25" customHeight="1">
      <c r="A75" s="115" t="s">
        <v>32</v>
      </c>
      <c r="B75" s="128" t="s">
        <v>18</v>
      </c>
      <c r="C75" s="20"/>
      <c r="D75" s="20"/>
      <c r="E75" s="20"/>
      <c r="F75" s="20"/>
      <c r="G75" s="20"/>
      <c r="H75" s="20"/>
      <c r="I75" s="20">
        <v>103.93599999999996</v>
      </c>
      <c r="J75" s="20">
        <v>50.4</v>
      </c>
      <c r="K75" s="20">
        <v>67.5</v>
      </c>
      <c r="L75" s="20">
        <v>97.251200000000054</v>
      </c>
      <c r="M75" s="20">
        <v>71.3</v>
      </c>
      <c r="N75" s="20">
        <v>34.142300000000063</v>
      </c>
      <c r="O75" s="20">
        <f>'[21]CBR выходная'!$H$4</f>
        <v>58.431999999999952</v>
      </c>
      <c r="P75" s="54">
        <v>69</v>
      </c>
      <c r="Q75" s="106">
        <v>31.765471404656154</v>
      </c>
      <c r="R75" s="106">
        <v>29.628697534910838</v>
      </c>
      <c r="S75" s="106">
        <v>25.248417496037796</v>
      </c>
      <c r="T75" s="54">
        <v>25.282500455232917</v>
      </c>
      <c r="U75" s="54">
        <v>33</v>
      </c>
      <c r="V75" s="54">
        <v>41</v>
      </c>
      <c r="W75" s="54">
        <v>46</v>
      </c>
      <c r="X75" s="54">
        <v>48</v>
      </c>
      <c r="Y75" s="54">
        <v>50</v>
      </c>
      <c r="Z75" s="54">
        <v>56</v>
      </c>
    </row>
    <row r="76" spans="1:26" ht="30.75" customHeight="1">
      <c r="A76" s="133" t="s">
        <v>37</v>
      </c>
      <c r="B76" s="123" t="s">
        <v>17</v>
      </c>
      <c r="C76" s="20"/>
      <c r="D76" s="20"/>
      <c r="E76" s="20"/>
      <c r="F76" s="20"/>
      <c r="G76" s="20"/>
      <c r="H76" s="20"/>
      <c r="I76" s="20">
        <v>6.2698739127597909</v>
      </c>
      <c r="J76" s="20">
        <v>3.2338313470370688</v>
      </c>
      <c r="K76" s="20">
        <v>3.6294600444032126</v>
      </c>
      <c r="L76" s="20">
        <v>4.3267373040538102</v>
      </c>
      <c r="M76" s="20">
        <f>M75*31.1/M11*100</f>
        <v>3.313213694268561</v>
      </c>
      <c r="N76" s="20">
        <f>N75*31.8/N11*100</f>
        <v>1.5288301219653362</v>
      </c>
      <c r="O76" s="20">
        <f>O75*38.4/O11*100</f>
        <v>2.8786795070166789</v>
      </c>
      <c r="P76" s="54">
        <v>5.2088805530079254</v>
      </c>
      <c r="Q76" s="106">
        <v>2.6535333505195742</v>
      </c>
      <c r="R76" s="54">
        <v>2.3039157242661585</v>
      </c>
      <c r="S76" s="54">
        <v>1.8793515233355689</v>
      </c>
      <c r="T76" s="54">
        <v>1.8183145684473605</v>
      </c>
      <c r="U76" s="54">
        <f t="shared" ref="U76:Z76" si="20">U75*62.4/U11*100</f>
        <v>1.9694408486462849</v>
      </c>
      <c r="V76" s="54">
        <f t="shared" si="20"/>
        <v>2.3235611034598058</v>
      </c>
      <c r="W76" s="54" t="e">
        <f t="shared" si="20"/>
        <v>#VALUE!</v>
      </c>
      <c r="X76" s="54" t="e">
        <f t="shared" si="20"/>
        <v>#VALUE!</v>
      </c>
      <c r="Y76" s="54" t="e">
        <f t="shared" si="20"/>
        <v>#VALUE!</v>
      </c>
      <c r="Z76" s="54" t="e">
        <f t="shared" si="20"/>
        <v>#VALUE!</v>
      </c>
    </row>
    <row r="77" spans="1:26" ht="32.25" hidden="1" customHeight="1">
      <c r="A77" s="16" t="s">
        <v>42</v>
      </c>
      <c r="B77" s="129" t="s">
        <v>18</v>
      </c>
      <c r="C77" s="40"/>
      <c r="D77" s="40"/>
      <c r="E77" s="39"/>
      <c r="F77" s="39"/>
      <c r="G77" s="39"/>
      <c r="H77" s="40"/>
      <c r="I77" s="40">
        <v>-133.6</v>
      </c>
      <c r="J77" s="40">
        <v>-57.5</v>
      </c>
      <c r="K77" s="40">
        <v>-30.8</v>
      </c>
      <c r="L77" s="40">
        <v>-81.400000000000006</v>
      </c>
      <c r="M77" s="40">
        <v>-53.9</v>
      </c>
      <c r="N77" s="40">
        <v>-61.6</v>
      </c>
      <c r="O77" s="40">
        <v>-153</v>
      </c>
      <c r="P77" s="55">
        <v>-58</v>
      </c>
      <c r="Q77" s="107">
        <v>-40</v>
      </c>
      <c r="R77" s="55">
        <v>-30</v>
      </c>
      <c r="S77" s="55">
        <v>-25</v>
      </c>
      <c r="T77" s="55">
        <v>-20</v>
      </c>
      <c r="U77" s="55"/>
      <c r="V77" s="55"/>
      <c r="W77" s="55"/>
      <c r="X77" s="55"/>
      <c r="Y77" s="55"/>
      <c r="Z77" s="55"/>
    </row>
    <row r="78" spans="1:26" ht="32.25" customHeight="1">
      <c r="A78" s="133"/>
      <c r="B78" s="130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57"/>
      <c r="Q78" s="108"/>
      <c r="R78" s="65"/>
      <c r="S78" s="65"/>
      <c r="T78" s="65"/>
      <c r="U78" s="65"/>
      <c r="V78" s="65"/>
      <c r="W78" s="65"/>
      <c r="X78" s="65"/>
      <c r="Y78" s="65"/>
      <c r="Z78" s="65"/>
    </row>
    <row r="79" spans="1:26" ht="32.25" customHeight="1">
      <c r="A79" s="135" t="s">
        <v>57</v>
      </c>
      <c r="B79" s="121" t="s">
        <v>19</v>
      </c>
      <c r="C79" s="40">
        <v>71.400000000000006</v>
      </c>
      <c r="D79" s="40">
        <v>71.912000000000006</v>
      </c>
      <c r="E79" s="39">
        <v>72.072999999999993</v>
      </c>
      <c r="F79" s="39">
        <v>72.042000000000002</v>
      </c>
      <c r="G79" s="39">
        <v>72.436999999999998</v>
      </c>
      <c r="H79" s="40">
        <v>72.612000000000009</v>
      </c>
      <c r="I79" s="40">
        <v>73.263000000000005</v>
      </c>
      <c r="J79" s="40">
        <v>73.745999999999995</v>
      </c>
      <c r="K79" s="40">
        <v>73.120999999999995</v>
      </c>
      <c r="L79" s="40">
        <v>72.649000000000001</v>
      </c>
      <c r="M79" s="40">
        <v>72.099508999999998</v>
      </c>
      <c r="N79" s="40">
        <f>'[22]вар 40'!M41</f>
        <v>72.038427016605709</v>
      </c>
      <c r="O79" s="40">
        <f>'[22]вар 40'!N41</f>
        <v>71.702673833333336</v>
      </c>
      <c r="P79" s="55">
        <v>72.653026666666662</v>
      </c>
      <c r="Q79" s="55">
        <v>72.652130595179656</v>
      </c>
      <c r="R79" s="55">
        <v>72.347935278960961</v>
      </c>
      <c r="S79" s="55">
        <v>71.972861163033741</v>
      </c>
      <c r="T79" s="55">
        <v>71.536747411666141</v>
      </c>
      <c r="U79" s="55">
        <f>'[23]вар баз'!T41</f>
        <v>71.019444004112472</v>
      </c>
      <c r="V79" s="55">
        <f>'[23]вар баз'!U41</f>
        <v>70.4676364649075</v>
      </c>
      <c r="W79" s="55">
        <f>'[23]вар баз'!V41</f>
        <v>69.979294927660362</v>
      </c>
      <c r="X79" s="55">
        <f>'[23]вар баз'!W41</f>
        <v>69.547114399383247</v>
      </c>
      <c r="Y79" s="55">
        <f>'[23]вар баз'!X41</f>
        <v>69.205079648858572</v>
      </c>
      <c r="Z79" s="55">
        <f>'[23]вар баз'!Y41</f>
        <v>68.921391917495484</v>
      </c>
    </row>
    <row r="80" spans="1:26" ht="32.25" customHeight="1">
      <c r="A80" s="132"/>
      <c r="B80" s="122"/>
      <c r="C80" s="20"/>
      <c r="D80" s="20"/>
      <c r="E80" s="19"/>
      <c r="F80" s="19"/>
      <c r="G80" s="19"/>
      <c r="H80" s="20"/>
      <c r="I80" s="19"/>
      <c r="J80" s="20"/>
      <c r="K80" s="20"/>
      <c r="L80" s="20"/>
      <c r="M80" s="20"/>
      <c r="N80" s="4"/>
      <c r="O80" s="20"/>
      <c r="P80" s="57"/>
      <c r="Q80" s="108"/>
      <c r="R80" s="65"/>
      <c r="S80" s="65"/>
      <c r="T80" s="65"/>
      <c r="U80" s="65"/>
      <c r="V80" s="65"/>
      <c r="W80" s="65"/>
      <c r="X80" s="65"/>
      <c r="Y80" s="65"/>
      <c r="Z80" s="65"/>
    </row>
    <row r="81" spans="1:26" ht="32.25" customHeight="1">
      <c r="A81" s="135" t="s">
        <v>58</v>
      </c>
      <c r="B81" s="121" t="s">
        <v>19</v>
      </c>
      <c r="C81" s="40">
        <v>65.599999999999994</v>
      </c>
      <c r="D81" s="40">
        <v>65.978999999999999</v>
      </c>
      <c r="E81" s="39">
        <v>66.406999999999996</v>
      </c>
      <c r="F81" s="39">
        <v>66.8</v>
      </c>
      <c r="G81" s="39">
        <v>67.186999999999998</v>
      </c>
      <c r="H81" s="40">
        <v>68.093000000000004</v>
      </c>
      <c r="I81" s="40">
        <v>68.566000000000003</v>
      </c>
      <c r="J81" s="40">
        <v>67.462999999999994</v>
      </c>
      <c r="K81" s="40">
        <v>67.576999999999998</v>
      </c>
      <c r="L81" s="40">
        <v>67.727000000000004</v>
      </c>
      <c r="M81" s="40">
        <v>67.968299999999999</v>
      </c>
      <c r="N81" s="40">
        <f>'[22]вар 40'!M42</f>
        <v>67.900984016605705</v>
      </c>
      <c r="O81" s="40">
        <f>'[22]вар 40'!N42</f>
        <v>67.813299999999998</v>
      </c>
      <c r="P81" s="55">
        <v>68.389099999999999</v>
      </c>
      <c r="Q81" s="55">
        <v>68.386741647852418</v>
      </c>
      <c r="R81" s="55">
        <v>68.091457118326559</v>
      </c>
      <c r="S81" s="55">
        <v>67.784983002399329</v>
      </c>
      <c r="T81" s="55">
        <v>67.424569251031727</v>
      </c>
      <c r="U81" s="55">
        <f>'[23]вар баз'!T42</f>
        <v>66.941423065950275</v>
      </c>
      <c r="V81" s="55">
        <f>'[23]вар баз'!U42</f>
        <v>66.428628577060479</v>
      </c>
      <c r="W81" s="55">
        <f>'[23]вар баз'!V42</f>
        <v>66.036575178343128</v>
      </c>
      <c r="X81" s="55">
        <f>'[23]вар баз'!W42</f>
        <v>65.657359475572946</v>
      </c>
      <c r="Y81" s="55">
        <f>'[23]вар баз'!X42</f>
        <v>65.327602704255312</v>
      </c>
      <c r="Z81" s="55">
        <f>'[23]вар баз'!Y42</f>
        <v>65.129591198583782</v>
      </c>
    </row>
    <row r="82" spans="1:26" ht="32.25" customHeight="1">
      <c r="A82" s="132"/>
      <c r="B82" s="122"/>
      <c r="C82" s="20"/>
      <c r="D82" s="20"/>
      <c r="E82" s="19"/>
      <c r="F82" s="19"/>
      <c r="G82" s="19"/>
      <c r="H82" s="20"/>
      <c r="I82" s="19"/>
      <c r="J82" s="20"/>
      <c r="K82" s="20"/>
      <c r="L82" s="20"/>
      <c r="M82" s="20"/>
      <c r="N82" s="4"/>
      <c r="O82" s="20"/>
      <c r="P82" s="57"/>
      <c r="Q82" s="108"/>
      <c r="R82" s="65"/>
      <c r="S82" s="65"/>
      <c r="T82" s="65"/>
      <c r="U82" s="65"/>
      <c r="V82" s="65"/>
      <c r="W82" s="65"/>
      <c r="X82" s="65"/>
      <c r="Y82" s="65"/>
      <c r="Z82" s="65"/>
    </row>
    <row r="83" spans="1:26" ht="32.25" customHeight="1">
      <c r="A83" s="135" t="s">
        <v>59</v>
      </c>
      <c r="B83" s="121" t="s">
        <v>19</v>
      </c>
      <c r="C83" s="40">
        <v>5.8</v>
      </c>
      <c r="D83" s="40">
        <v>5.9329999999999998</v>
      </c>
      <c r="E83" s="39">
        <v>5.6660000000000004</v>
      </c>
      <c r="F83" s="39">
        <v>5.242</v>
      </c>
      <c r="G83" s="39">
        <v>5.25</v>
      </c>
      <c r="H83" s="40">
        <v>4.5190000000000001</v>
      </c>
      <c r="I83" s="40">
        <v>4.6970000000000001</v>
      </c>
      <c r="J83" s="40">
        <v>6.2830000000000004</v>
      </c>
      <c r="K83" s="40">
        <v>5.5439999999999969</v>
      </c>
      <c r="L83" s="40">
        <v>4.921999999999997</v>
      </c>
      <c r="M83" s="40">
        <v>4.1312089999999984</v>
      </c>
      <c r="N83" s="40">
        <f>'[22]вар 40'!M43</f>
        <v>4.1374430000000002</v>
      </c>
      <c r="O83" s="40">
        <f>'[22]вар 40'!N43</f>
        <v>3.889373833333333</v>
      </c>
      <c r="P83" s="55">
        <v>4.2639266666666673</v>
      </c>
      <c r="Q83" s="55">
        <v>4.2653889473272395</v>
      </c>
      <c r="R83" s="55">
        <v>4.2564781606344084</v>
      </c>
      <c r="S83" s="55">
        <v>4.1878781606344084</v>
      </c>
      <c r="T83" s="55">
        <v>4.1121781606344081</v>
      </c>
      <c r="U83" s="55">
        <f>'[24]сравнение '!I12</f>
        <v>4.0780209381622035</v>
      </c>
      <c r="V83" s="55">
        <f>'[24]сравнение '!J12</f>
        <v>4.0390078878470259</v>
      </c>
      <c r="W83" s="55">
        <f>'[24]сравнение '!K12</f>
        <v>3.9427197493172406</v>
      </c>
      <c r="X83" s="55">
        <f>'[24]сравнение '!L12</f>
        <v>3.8897549238103011</v>
      </c>
      <c r="Y83" s="55">
        <f>'[24]сравнение '!M12</f>
        <v>3.877476944603266</v>
      </c>
      <c r="Z83" s="55">
        <f>'[24]сравнение '!N12</f>
        <v>3.7918007189116953</v>
      </c>
    </row>
    <row r="84" spans="1:26" ht="32.25" customHeight="1">
      <c r="A84" s="132"/>
      <c r="B84" s="122"/>
      <c r="C84" s="20"/>
      <c r="D84" s="20"/>
      <c r="E84" s="19"/>
      <c r="F84" s="19"/>
      <c r="G84" s="19"/>
      <c r="H84" s="20"/>
      <c r="I84" s="19"/>
      <c r="J84" s="20"/>
      <c r="K84" s="20"/>
      <c r="L84" s="20"/>
      <c r="M84" s="20"/>
      <c r="N84" s="4"/>
      <c r="O84" s="20"/>
      <c r="P84" s="57"/>
      <c r="Q84" s="108"/>
      <c r="R84" s="65"/>
      <c r="S84" s="65"/>
      <c r="T84" s="65"/>
      <c r="U84" s="65"/>
      <c r="V84" s="65"/>
      <c r="W84" s="65"/>
      <c r="X84" s="65"/>
      <c r="Y84" s="65"/>
      <c r="Z84" s="65"/>
    </row>
    <row r="85" spans="1:26" ht="32.25" customHeight="1">
      <c r="A85" s="135" t="s">
        <v>39</v>
      </c>
      <c r="B85" s="121" t="s">
        <v>40</v>
      </c>
      <c r="C85" s="40"/>
      <c r="D85" s="40"/>
      <c r="E85" s="39"/>
      <c r="F85" s="39"/>
      <c r="G85" s="39"/>
      <c r="H85" s="40"/>
      <c r="I85" s="40">
        <v>6.4111488746024596</v>
      </c>
      <c r="J85" s="40">
        <v>8.519784123884687</v>
      </c>
      <c r="K85" s="40">
        <v>7.5819532008588473</v>
      </c>
      <c r="L85" s="40">
        <v>6.7750416385635006</v>
      </c>
      <c r="M85" s="40">
        <v>5.7298711978745906</v>
      </c>
      <c r="N85" s="40">
        <f>'[22]вар 40'!M44</f>
        <v>5.7433833182480107</v>
      </c>
      <c r="O85" s="40">
        <f>'[22]вар 40'!N44</f>
        <v>5.4243079447411491</v>
      </c>
      <c r="P85" s="55">
        <v>5.868890619285053</v>
      </c>
      <c r="Q85" s="55">
        <v>5.8709757200296622</v>
      </c>
      <c r="R85" s="55">
        <v>5.8833443473157523</v>
      </c>
      <c r="S85" s="55">
        <v>5.8186906744585007</v>
      </c>
      <c r="T85" s="55">
        <v>5.7483437665545836</v>
      </c>
      <c r="U85" s="55">
        <f>'[23]вар баз'!T44</f>
        <v>5.7421189300300073</v>
      </c>
      <c r="V85" s="55">
        <f>'[23]вар баз'!U44</f>
        <v>5.7317203903361085</v>
      </c>
      <c r="W85" s="55">
        <f>'[23]вар баз'!V44</f>
        <v>5.6341232837412045</v>
      </c>
      <c r="X85" s="55">
        <f>'[23]вар баз'!W44</f>
        <v>5.59297816653166</v>
      </c>
      <c r="Y85" s="55">
        <f>'[23]вар баз'!X44</f>
        <v>5.6028791011834622</v>
      </c>
      <c r="Z85" s="55">
        <f>'[23]вар баз'!Y44</f>
        <v>5.5016310805951072</v>
      </c>
    </row>
    <row r="86" spans="1:26" ht="32.25" customHeight="1">
      <c r="A86" s="132"/>
      <c r="B86" s="122"/>
      <c r="C86" s="20"/>
      <c r="D86" s="20"/>
      <c r="E86" s="19"/>
      <c r="F86" s="19"/>
      <c r="G86" s="19"/>
      <c r="H86" s="20"/>
      <c r="I86" s="19"/>
      <c r="J86" s="20"/>
      <c r="K86" s="20"/>
      <c r="L86" s="20"/>
      <c r="M86" s="20"/>
      <c r="N86" s="4"/>
      <c r="O86" s="20"/>
      <c r="P86" s="57"/>
      <c r="Q86" s="108"/>
      <c r="R86" s="65"/>
      <c r="S86" s="65"/>
      <c r="T86" s="65"/>
      <c r="U86" s="65"/>
      <c r="V86" s="65"/>
      <c r="W86" s="65"/>
      <c r="X86" s="65"/>
      <c r="Y86" s="65"/>
      <c r="Z86" s="65"/>
    </row>
    <row r="87" spans="1:26" ht="20.25">
      <c r="A87" s="16" t="s">
        <v>20</v>
      </c>
      <c r="B87" s="121" t="s">
        <v>17</v>
      </c>
      <c r="C87" s="40">
        <v>103.8</v>
      </c>
      <c r="D87" s="40">
        <v>107.00151730469918</v>
      </c>
      <c r="E87" s="39">
        <v>106.5</v>
      </c>
      <c r="F87" s="39">
        <v>105.5</v>
      </c>
      <c r="G87" s="40">
        <v>107.5</v>
      </c>
      <c r="H87" s="40">
        <v>107.5</v>
      </c>
      <c r="I87" s="40">
        <v>104.8</v>
      </c>
      <c r="J87" s="40">
        <v>95.9</v>
      </c>
      <c r="K87" s="40">
        <v>103.2</v>
      </c>
      <c r="L87" s="40">
        <v>103.8</v>
      </c>
      <c r="M87" s="40">
        <v>103.2</v>
      </c>
      <c r="N87" s="40">
        <v>101.8</v>
      </c>
      <c r="O87" s="40">
        <v>100.9</v>
      </c>
      <c r="P87" s="55">
        <v>96.8</v>
      </c>
      <c r="Q87" s="55">
        <v>99.389378853252268</v>
      </c>
      <c r="R87" s="55">
        <v>101.03626065482311</v>
      </c>
      <c r="S87" s="55">
        <v>102.15981301771066</v>
      </c>
      <c r="T87" s="55">
        <v>102.64576906346448</v>
      </c>
      <c r="U87" s="55">
        <f t="shared" ref="U87:Z87" si="21">U12/U81*T81</f>
        <v>101.90570183548992</v>
      </c>
      <c r="V87" s="55">
        <f t="shared" si="21"/>
        <v>102.02182924860884</v>
      </c>
      <c r="W87" s="55" t="e">
        <f t="shared" si="21"/>
        <v>#VALUE!</v>
      </c>
      <c r="X87" s="55" t="e">
        <f t="shared" si="21"/>
        <v>#VALUE!</v>
      </c>
      <c r="Y87" s="55" t="e">
        <f t="shared" si="21"/>
        <v>#VALUE!</v>
      </c>
      <c r="Z87" s="55" t="e">
        <f t="shared" si="21"/>
        <v>#VALUE!</v>
      </c>
    </row>
    <row r="88" spans="1:26" ht="20.25">
      <c r="A88" s="132"/>
      <c r="B88" s="122"/>
      <c r="C88" s="20"/>
      <c r="D88" s="20"/>
      <c r="E88" s="19"/>
      <c r="F88" s="19"/>
      <c r="G88" s="19"/>
      <c r="H88" s="20"/>
      <c r="I88" s="19"/>
      <c r="J88" s="20"/>
      <c r="K88" s="20"/>
      <c r="L88" s="20"/>
      <c r="M88" s="20"/>
      <c r="N88" s="4"/>
      <c r="O88" s="20"/>
      <c r="P88" s="57"/>
      <c r="Q88" s="108"/>
      <c r="R88" s="65"/>
      <c r="S88" s="65"/>
      <c r="T88" s="65"/>
      <c r="U88" s="55"/>
      <c r="V88" s="55"/>
      <c r="W88" s="55"/>
      <c r="X88" s="55"/>
      <c r="Y88" s="55"/>
      <c r="Z88" s="55"/>
    </row>
    <row r="89" spans="1:26" ht="41.25" thickBot="1">
      <c r="A89" s="135" t="s">
        <v>62</v>
      </c>
      <c r="B89" s="129" t="s">
        <v>63</v>
      </c>
      <c r="C89" s="40"/>
      <c r="D89" s="40"/>
      <c r="E89" s="39"/>
      <c r="F89" s="39"/>
      <c r="G89" s="40"/>
      <c r="H89" s="40"/>
      <c r="I89" s="40"/>
      <c r="J89" s="40"/>
      <c r="K89" s="40"/>
      <c r="L89" s="40"/>
      <c r="M89" s="40"/>
      <c r="N89" s="40"/>
      <c r="O89" s="40"/>
      <c r="P89" s="55">
        <v>1927.4839417989599</v>
      </c>
      <c r="Q89" s="55">
        <v>1756.9193461244174</v>
      </c>
      <c r="R89" s="55">
        <v>1671.4452919175033</v>
      </c>
      <c r="S89" s="55">
        <v>1604.1727510080091</v>
      </c>
      <c r="T89" s="55">
        <v>1525.778876874987</v>
      </c>
      <c r="U89" s="95"/>
      <c r="V89" s="95"/>
      <c r="W89" s="95"/>
      <c r="X89" s="95"/>
      <c r="Y89" s="95"/>
      <c r="Z89" s="95"/>
    </row>
    <row r="90" spans="1:26" ht="41.25" hidden="1" customHeight="1">
      <c r="A90" s="152" t="s">
        <v>35</v>
      </c>
      <c r="B90" s="153" t="s">
        <v>17</v>
      </c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154">
        <v>105.13097291986261</v>
      </c>
      <c r="Q90" s="154">
        <v>91.150920016726516</v>
      </c>
      <c r="R90" s="154">
        <v>95.135004097059934</v>
      </c>
      <c r="S90" s="154">
        <v>95.975187388136504</v>
      </c>
      <c r="T90" s="154">
        <v>95.113127680060515</v>
      </c>
      <c r="U90" s="112">
        <f>[25]Свод!J8</f>
        <v>64.193381011344385</v>
      </c>
      <c r="V90" s="112">
        <f>[25]Свод!K8</f>
        <v>64.413239633789615</v>
      </c>
      <c r="W90" s="112">
        <f>[25]Свод!L8</f>
        <v>64.629218125529718</v>
      </c>
      <c r="X90" s="112">
        <f>[25]Свод!M8</f>
        <v>64.841316486564722</v>
      </c>
      <c r="Y90" s="112">
        <f>[25]Свод!N8</f>
        <v>65.049534716894627</v>
      </c>
      <c r="Z90" s="112">
        <f>[25]Свод!O8</f>
        <v>65.253872816519419</v>
      </c>
    </row>
    <row r="91" spans="1:26" ht="41.25" customHeight="1">
      <c r="A91" s="115"/>
      <c r="B91" s="123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9"/>
      <c r="Q91" s="49"/>
      <c r="R91" s="49"/>
      <c r="S91" s="49"/>
      <c r="T91" s="49"/>
      <c r="U91" s="155"/>
      <c r="V91" s="155"/>
      <c r="W91" s="155"/>
      <c r="X91" s="155"/>
      <c r="Y91" s="155"/>
      <c r="Z91" s="155"/>
    </row>
    <row r="92" spans="1:26" ht="20.25">
      <c r="A92" s="135" t="s">
        <v>64</v>
      </c>
      <c r="B92" s="129" t="s">
        <v>18</v>
      </c>
      <c r="C92" s="40"/>
      <c r="D92" s="40"/>
      <c r="E92" s="39"/>
      <c r="F92" s="39"/>
      <c r="G92" s="40"/>
      <c r="H92" s="40"/>
      <c r="I92" s="40"/>
      <c r="J92" s="40"/>
      <c r="K92" s="40"/>
      <c r="L92" s="40"/>
      <c r="M92" s="40"/>
      <c r="N92" s="40"/>
      <c r="O92" s="40"/>
      <c r="P92" s="55">
        <v>-15.7056665141378</v>
      </c>
      <c r="Q92" s="55">
        <v>-12.971891520069624</v>
      </c>
      <c r="R92" s="55">
        <v>-10.4425795332135</v>
      </c>
      <c r="S92" s="55">
        <v>-9.0752559533951604</v>
      </c>
      <c r="T92" s="55">
        <v>-12.169246013371243</v>
      </c>
      <c r="U92" s="64"/>
      <c r="V92" s="64"/>
      <c r="W92" s="64"/>
      <c r="X92" s="64"/>
      <c r="Y92" s="64"/>
      <c r="Z92" s="64"/>
    </row>
    <row r="93" spans="1:26" ht="81.75" thickBot="1">
      <c r="A93" s="152" t="s">
        <v>65</v>
      </c>
      <c r="B93" s="153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154"/>
      <c r="Q93" s="154"/>
      <c r="R93" s="154"/>
      <c r="S93" s="154"/>
      <c r="T93" s="154"/>
    </row>
    <row r="94" spans="1:26" ht="19.5">
      <c r="A94" s="158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</row>
    <row r="95" spans="1:26">
      <c r="B95" s="12"/>
    </row>
    <row r="96" spans="1:26">
      <c r="A96" s="79"/>
      <c r="B96" s="6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93"/>
    </row>
    <row r="97" spans="1:16">
      <c r="A97" s="79"/>
      <c r="B97" s="6"/>
      <c r="C97" s="7"/>
      <c r="D97" s="7"/>
      <c r="E97" s="5"/>
      <c r="F97" s="5"/>
      <c r="G97" s="5"/>
      <c r="H97" s="7"/>
      <c r="I97" s="7"/>
      <c r="J97" s="7"/>
      <c r="K97" s="7"/>
      <c r="L97" s="9"/>
      <c r="M97" s="7"/>
      <c r="N97" s="7"/>
      <c r="O97" s="7"/>
      <c r="P97" s="93"/>
    </row>
    <row r="98" spans="1:16">
      <c r="A98" s="2"/>
      <c r="B98" s="3"/>
      <c r="C98" s="7"/>
      <c r="D98" s="7"/>
      <c r="E98" s="6"/>
      <c r="F98" s="6"/>
      <c r="G98" s="6"/>
      <c r="H98" s="7"/>
      <c r="I98" s="7"/>
      <c r="J98" s="7"/>
      <c r="K98" s="7"/>
      <c r="L98" s="7"/>
      <c r="M98" s="7"/>
      <c r="N98" s="7"/>
      <c r="O98" s="7"/>
      <c r="P98" s="7"/>
    </row>
    <row r="99" spans="1:16">
      <c r="A99" s="4"/>
      <c r="B99" s="1"/>
      <c r="C99" s="7"/>
      <c r="D99" s="7"/>
      <c r="E99" s="6"/>
      <c r="F99" s="6"/>
      <c r="G99" s="6"/>
      <c r="H99" s="7"/>
      <c r="I99" s="7"/>
      <c r="J99" s="4"/>
      <c r="K99" s="4"/>
      <c r="L99" s="4"/>
      <c r="M99" s="4"/>
      <c r="N99" s="4"/>
      <c r="O99" s="4"/>
      <c r="P99" s="7"/>
    </row>
    <row r="100" spans="1:16">
      <c r="A100" s="4"/>
      <c r="B100" s="3"/>
      <c r="C100" s="7"/>
      <c r="D100" s="7"/>
      <c r="E100" s="6"/>
      <c r="F100" s="5"/>
      <c r="G100" s="7"/>
      <c r="H100" s="7"/>
      <c r="I100" s="7"/>
      <c r="J100" s="7"/>
      <c r="K100" s="7"/>
      <c r="L100" s="7"/>
      <c r="M100" s="7"/>
      <c r="N100" s="7"/>
      <c r="O100" s="7"/>
      <c r="P100" s="4"/>
    </row>
    <row r="101" spans="1:16">
      <c r="A101" s="4"/>
      <c r="B101" s="1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16">
      <c r="A102" s="2"/>
      <c r="B102" s="1"/>
      <c r="C102" s="14"/>
      <c r="D102" s="10"/>
      <c r="E102" s="10"/>
      <c r="F102" s="10"/>
      <c r="G102" s="5"/>
      <c r="H102" s="7"/>
      <c r="I102" s="7"/>
      <c r="J102" s="7"/>
      <c r="K102" s="7"/>
      <c r="L102" s="7"/>
      <c r="M102" s="7"/>
      <c r="N102" s="7"/>
      <c r="O102" s="7"/>
      <c r="P102" s="4"/>
    </row>
    <row r="103" spans="1:16">
      <c r="A103" s="4"/>
      <c r="B103" s="1"/>
      <c r="C103" s="4"/>
      <c r="D103" s="4"/>
      <c r="E103" s="4"/>
      <c r="F103" s="4"/>
      <c r="G103" s="4"/>
      <c r="H103" s="4"/>
      <c r="I103" s="7"/>
      <c r="J103" s="7"/>
      <c r="K103" s="7"/>
      <c r="L103" s="7"/>
      <c r="M103" s="7"/>
      <c r="N103" s="7"/>
      <c r="O103" s="7"/>
      <c r="P103" s="4"/>
    </row>
    <row r="104" spans="1:16">
      <c r="A104" s="4"/>
      <c r="B104" s="1"/>
      <c r="C104" s="4"/>
      <c r="D104" s="4"/>
      <c r="E104" s="4"/>
      <c r="F104" s="4"/>
      <c r="G104" s="4"/>
      <c r="H104" s="4"/>
      <c r="I104" s="7"/>
      <c r="J104" s="7"/>
      <c r="K104" s="7"/>
      <c r="L104" s="7"/>
      <c r="M104" s="7"/>
      <c r="N104" s="7"/>
      <c r="O104" s="7"/>
      <c r="P104" s="4"/>
    </row>
    <row r="105" spans="1:16">
      <c r="A105" s="4"/>
      <c r="B105" s="1"/>
      <c r="C105" s="4"/>
      <c r="D105" s="4"/>
      <c r="E105" s="4"/>
      <c r="F105" s="4"/>
      <c r="G105" s="7"/>
      <c r="H105" s="7"/>
      <c r="I105" s="4"/>
      <c r="J105" s="7"/>
      <c r="K105" s="7"/>
      <c r="L105" s="7"/>
      <c r="M105" s="7"/>
      <c r="N105" s="7"/>
      <c r="O105" s="7"/>
      <c r="P105" s="4"/>
    </row>
    <row r="106" spans="1:16">
      <c r="A106" s="4"/>
      <c r="B106" s="1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</row>
    <row r="107" spans="1:16">
      <c r="A107" s="4"/>
      <c r="B107" s="1"/>
      <c r="C107" s="4"/>
      <c r="D107" s="4"/>
      <c r="E107" s="4"/>
      <c r="F107" s="4"/>
      <c r="G107" s="4"/>
      <c r="H107" s="4"/>
      <c r="I107" s="7"/>
      <c r="J107" s="7"/>
      <c r="K107" s="7"/>
      <c r="L107" s="7"/>
      <c r="M107" s="7"/>
      <c r="N107" s="7"/>
      <c r="O107" s="7"/>
      <c r="P107" s="4"/>
    </row>
    <row r="108" spans="1:16">
      <c r="A108" s="4"/>
      <c r="B108" s="1"/>
      <c r="C108" s="4"/>
      <c r="D108" s="4"/>
      <c r="E108" s="15"/>
      <c r="F108" s="15"/>
      <c r="G108" s="15"/>
      <c r="H108" s="15"/>
      <c r="I108" s="4"/>
      <c r="J108" s="4"/>
      <c r="K108" s="4"/>
      <c r="L108" s="4"/>
      <c r="M108" s="4"/>
      <c r="N108" s="4"/>
      <c r="O108" s="4"/>
      <c r="P108" s="4"/>
    </row>
    <row r="109" spans="1:16">
      <c r="A109" s="4"/>
      <c r="B109" s="1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</row>
  </sheetData>
  <mergeCells count="4">
    <mergeCell ref="A94:P94"/>
    <mergeCell ref="C6:N6"/>
    <mergeCell ref="Q6:T6"/>
    <mergeCell ref="A3:Z4"/>
  </mergeCells>
  <phoneticPr fontId="0" type="noConversion"/>
  <printOptions horizontalCentered="1" verticalCentered="1"/>
  <pageMargins left="0.27559055118110237" right="0.23622047244094491" top="0.11811023622047245" bottom="0.15748031496062992" header="0.19685039370078741" footer="0.19685039370078741"/>
  <pageSetup paperSize="9" scale="48" pageOrder="overThenDown" orientation="portrait" r:id="rId1"/>
  <headerFooter alignWithMargins="0"/>
  <rowBreaks count="1" manualBreakCount="1">
    <brk id="45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Б. вар.</vt:lpstr>
      <vt:lpstr>'Б. вар.'!Заголовки_для_печати</vt:lpstr>
      <vt:lpstr>'Б. вар.'!Область_печати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масловская</dc:creator>
  <cp:lastModifiedBy>Рыбовалова</cp:lastModifiedBy>
  <cp:lastPrinted>2016-10-13T15:20:14Z</cp:lastPrinted>
  <dcterms:created xsi:type="dcterms:W3CDTF">2007-11-26T14:59:44Z</dcterms:created>
  <dcterms:modified xsi:type="dcterms:W3CDTF">2016-11-24T12:01:20Z</dcterms:modified>
</cp:coreProperties>
</file>